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song-my.sharepoint.com/personal/laryssamaria_ecosong_onmicrosoft_com/Documents/ECOS/RJ/ESTADO RJ 2024/02 JOGOS ESCOLARES - 26 FEV (ganho)/"/>
    </mc:Choice>
  </mc:AlternateContent>
  <xr:revisionPtr revIDLastSave="107" documentId="13_ncr:1_{2C8B6DD2-1E77-4B33-89B0-7DEBAE536100}" xr6:coauthVersionLast="47" xr6:coauthVersionMax="47" xr10:uidLastSave="{0CFFF120-FAE5-4696-A24B-0E389E1CCEDF}"/>
  <bookViews>
    <workbookView xWindow="11895" yWindow="0" windowWidth="12210" windowHeight="12885" tabRatio="896" xr2:uid="{BE877C75-BB3F-4DC5-B5B1-90F8AABB6873}"/>
  </bookViews>
  <sheets>
    <sheet name="GERAL" sheetId="39" r:id="rId1"/>
    <sheet name="VT, VR E ENCARGOS" sheetId="40" r:id="rId2"/>
    <sheet name="01. Coord adm" sheetId="27" r:id="rId3"/>
    <sheet name="02. Coord evento" sheetId="30" r:id="rId4"/>
    <sheet name="03. Coord adm" sheetId="29" r:id="rId5"/>
    <sheet name="04. Aux adm" sheetId="36" r:id="rId6"/>
    <sheet name="05. sup mat" sheetId="31" r:id="rId7"/>
    <sheet name="06. coord esp" sheetId="32" r:id="rId8"/>
    <sheet name="07. ass modal" sheetId="33" r:id="rId9"/>
    <sheet name="08. ass tec" sheetId="28" r:id="rId10"/>
    <sheet name="09. fisio" sheetId="37" r:id="rId11"/>
    <sheet name="Salários" sheetId="13" r:id="rId12"/>
  </sheets>
  <definedNames>
    <definedName name="_xlnm.Print_Area" localSheetId="0">GERAL!$B$4:$J$66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9" l="1"/>
  <c r="C24" i="40"/>
  <c r="E31" i="40"/>
  <c r="I27" i="40"/>
  <c r="I18" i="40"/>
  <c r="I19" i="40"/>
  <c r="I20" i="40"/>
  <c r="I21" i="40"/>
  <c r="I22" i="40"/>
  <c r="I23" i="40"/>
  <c r="I24" i="40"/>
  <c r="I25" i="40"/>
  <c r="I17" i="40"/>
  <c r="H18" i="40"/>
  <c r="H19" i="40"/>
  <c r="H20" i="40"/>
  <c r="H21" i="40"/>
  <c r="H22" i="40"/>
  <c r="H23" i="40"/>
  <c r="H24" i="40"/>
  <c r="H25" i="40"/>
  <c r="H17" i="40"/>
  <c r="G20" i="40"/>
  <c r="G24" i="40"/>
  <c r="G25" i="40"/>
  <c r="G23" i="40"/>
  <c r="G22" i="40"/>
  <c r="G21" i="40"/>
  <c r="G19" i="40"/>
  <c r="G18" i="40"/>
  <c r="G17" i="40"/>
  <c r="K106" i="37"/>
  <c r="K106" i="28"/>
  <c r="K106" i="33"/>
  <c r="K106" i="32"/>
  <c r="K106" i="31"/>
  <c r="K106" i="36"/>
  <c r="K106" i="29"/>
  <c r="K106" i="30"/>
  <c r="K107" i="27"/>
  <c r="P14" i="39"/>
  <c r="O9" i="39"/>
  <c r="O6" i="39"/>
  <c r="N6" i="39"/>
  <c r="G5" i="39"/>
  <c r="G7" i="39"/>
  <c r="G8" i="39"/>
  <c r="G9" i="39"/>
  <c r="G10" i="39"/>
  <c r="G11" i="39"/>
  <c r="G12" i="39"/>
  <c r="G13" i="39"/>
  <c r="G14" i="39"/>
  <c r="G6" i="39"/>
  <c r="K106" i="27"/>
  <c r="E21" i="39"/>
  <c r="H94" i="37"/>
  <c r="H58" i="37"/>
  <c r="H64" i="37" s="1"/>
  <c r="H54" i="37"/>
  <c r="H29" i="37"/>
  <c r="H18" i="37"/>
  <c r="H94" i="28"/>
  <c r="H58" i="28"/>
  <c r="H64" i="28" s="1"/>
  <c r="H54" i="28"/>
  <c r="H29" i="28"/>
  <c r="H18" i="28"/>
  <c r="H94" i="33"/>
  <c r="H58" i="33"/>
  <c r="H64" i="33" s="1"/>
  <c r="H54" i="33"/>
  <c r="H29" i="33"/>
  <c r="H18" i="33"/>
  <c r="H94" i="32"/>
  <c r="H58" i="32"/>
  <c r="H64" i="32" s="1"/>
  <c r="H54" i="32"/>
  <c r="H29" i="32"/>
  <c r="H18" i="32"/>
  <c r="H94" i="31"/>
  <c r="H58" i="31"/>
  <c r="H64" i="31" s="1"/>
  <c r="H54" i="31"/>
  <c r="H29" i="31"/>
  <c r="H18" i="31"/>
  <c r="H94" i="36"/>
  <c r="H58" i="36"/>
  <c r="H64" i="36" s="1"/>
  <c r="H54" i="36"/>
  <c r="H29" i="36"/>
  <c r="H18" i="36"/>
  <c r="H94" i="29"/>
  <c r="H58" i="29"/>
  <c r="H64" i="29" s="1"/>
  <c r="H54" i="29"/>
  <c r="H29" i="29"/>
  <c r="H18" i="29"/>
  <c r="H94" i="30"/>
  <c r="H58" i="30"/>
  <c r="H64" i="30" s="1"/>
  <c r="H54" i="30"/>
  <c r="H29" i="30"/>
  <c r="H18" i="30"/>
  <c r="G6" i="40" l="1"/>
  <c r="G8" i="40"/>
  <c r="N7" i="39"/>
  <c r="N8" i="39"/>
  <c r="N9" i="39"/>
  <c r="N10" i="39"/>
  <c r="N11" i="39"/>
  <c r="N12" i="39"/>
  <c r="N13" i="39"/>
  <c r="N14" i="39"/>
  <c r="H94" i="27"/>
  <c r="H58" i="27"/>
  <c r="H64" i="27" s="1"/>
  <c r="H54" i="27"/>
  <c r="H29" i="27"/>
  <c r="H18" i="27"/>
  <c r="S22" i="39"/>
  <c r="L21" i="39"/>
  <c r="I21" i="39" s="1"/>
  <c r="P46" i="39"/>
  <c r="G16" i="13"/>
  <c r="D15" i="13"/>
  <c r="H30" i="39"/>
  <c r="I30" i="39" s="1"/>
  <c r="J30" i="39" s="1"/>
  <c r="L34" i="39"/>
  <c r="H34" i="39" s="1"/>
  <c r="I34" i="39" s="1"/>
  <c r="J34" i="39" s="1"/>
  <c r="L32" i="39"/>
  <c r="L28" i="39"/>
  <c r="M28" i="39"/>
  <c r="M32" i="39"/>
  <c r="L33" i="39"/>
  <c r="M33" i="39"/>
  <c r="P38" i="39"/>
  <c r="I27" i="39"/>
  <c r="J27" i="39" s="1"/>
  <c r="I29" i="39"/>
  <c r="J29" i="39" s="1"/>
  <c r="I31" i="39"/>
  <c r="J31" i="39" s="1"/>
  <c r="I26" i="39"/>
  <c r="I25" i="39" s="1"/>
  <c r="H49" i="39"/>
  <c r="H50" i="39"/>
  <c r="H51" i="39"/>
  <c r="H52" i="39"/>
  <c r="H48" i="39"/>
  <c r="H47" i="39"/>
  <c r="H46" i="39"/>
  <c r="H44" i="39"/>
  <c r="H45" i="39"/>
  <c r="H43" i="39"/>
  <c r="H40" i="39"/>
  <c r="H41" i="39"/>
  <c r="H42" i="39"/>
  <c r="H39" i="39"/>
  <c r="E22" i="39"/>
  <c r="E23" i="39"/>
  <c r="I5" i="28"/>
  <c r="F13" i="39"/>
  <c r="F7" i="39"/>
  <c r="F8" i="39"/>
  <c r="F9" i="39"/>
  <c r="Q9" i="39" s="1"/>
  <c r="R9" i="39" s="1"/>
  <c r="S9" i="39" s="1"/>
  <c r="F10" i="39"/>
  <c r="F11" i="39"/>
  <c r="F12" i="39"/>
  <c r="F14" i="39"/>
  <c r="C7" i="39"/>
  <c r="R7" i="39" s="1"/>
  <c r="S7" i="39" s="1"/>
  <c r="C8" i="39"/>
  <c r="C9" i="39"/>
  <c r="C10" i="39"/>
  <c r="C11" i="39"/>
  <c r="C13" i="39"/>
  <c r="R13" i="39" s="1"/>
  <c r="S13" i="39" s="1"/>
  <c r="C14" i="39"/>
  <c r="R14" i="39" s="1"/>
  <c r="S14" i="39" s="1"/>
  <c r="B13" i="39"/>
  <c r="B14" i="39"/>
  <c r="B7" i="39"/>
  <c r="B8" i="39"/>
  <c r="B9" i="39"/>
  <c r="B10" i="39"/>
  <c r="B11" i="39"/>
  <c r="B12" i="39"/>
  <c r="C17" i="13"/>
  <c r="C16" i="13"/>
  <c r="C19" i="13" s="1"/>
  <c r="C12" i="39" l="1"/>
  <c r="R8" i="39"/>
  <c r="S8" i="39" s="1"/>
  <c r="G7" i="40"/>
  <c r="Q5" i="39"/>
  <c r="R10" i="39"/>
  <c r="S10" i="39" s="1"/>
  <c r="R12" i="39"/>
  <c r="S12" i="39" s="1"/>
  <c r="R11" i="39"/>
  <c r="S11" i="39" s="1"/>
  <c r="H53" i="39"/>
  <c r="L45" i="39" s="1"/>
  <c r="H32" i="39"/>
  <c r="I32" i="39" s="1"/>
  <c r="J32" i="39" s="1"/>
  <c r="I33" i="39"/>
  <c r="J33" i="39" s="1"/>
  <c r="I28" i="39"/>
  <c r="J28" i="39" s="1"/>
  <c r="J26" i="39"/>
  <c r="G9" i="40"/>
  <c r="G10" i="40"/>
  <c r="G11" i="40"/>
  <c r="G12" i="40"/>
  <c r="G13" i="40"/>
  <c r="G14" i="40"/>
  <c r="I72" i="39"/>
  <c r="J72" i="39" s="1"/>
  <c r="I71" i="39"/>
  <c r="H70" i="39"/>
  <c r="P39" i="39"/>
  <c r="N38" i="39"/>
  <c r="I23" i="39"/>
  <c r="J23" i="39" s="1"/>
  <c r="T22" i="39"/>
  <c r="I22" i="39"/>
  <c r="J22" i="39" s="1"/>
  <c r="I20" i="39"/>
  <c r="D14" i="40"/>
  <c r="D13" i="40"/>
  <c r="D12" i="40"/>
  <c r="D11" i="40"/>
  <c r="D10" i="40"/>
  <c r="D9" i="40"/>
  <c r="D8" i="40"/>
  <c r="D7" i="40"/>
  <c r="D6" i="40"/>
  <c r="F6" i="39"/>
  <c r="F5" i="39" s="1"/>
  <c r="C6" i="39"/>
  <c r="R6" i="39" s="1"/>
  <c r="B6" i="39"/>
  <c r="S6" i="39" l="1"/>
  <c r="S5" i="39" s="1"/>
  <c r="R5" i="39"/>
  <c r="J25" i="39"/>
  <c r="I70" i="39"/>
  <c r="D5" i="40"/>
  <c r="G5" i="40"/>
  <c r="B9" i="40"/>
  <c r="B20" i="40" s="1"/>
  <c r="L9" i="39"/>
  <c r="B11" i="40"/>
  <c r="B22" i="40" s="1"/>
  <c r="L11" i="39"/>
  <c r="L14" i="39"/>
  <c r="B14" i="40"/>
  <c r="B25" i="40" s="1"/>
  <c r="M11" i="39"/>
  <c r="C11" i="40"/>
  <c r="C14" i="40"/>
  <c r="M14" i="39"/>
  <c r="B12" i="40"/>
  <c r="B23" i="40" s="1"/>
  <c r="L12" i="39"/>
  <c r="C6" i="40"/>
  <c r="M6" i="39"/>
  <c r="M9" i="39"/>
  <c r="C9" i="40"/>
  <c r="M12" i="39"/>
  <c r="C12" i="40"/>
  <c r="E6" i="40"/>
  <c r="L10" i="39"/>
  <c r="B10" i="40"/>
  <c r="B21" i="40" s="1"/>
  <c r="L13" i="39"/>
  <c r="B13" i="40"/>
  <c r="B24" i="40" s="1"/>
  <c r="C7" i="40"/>
  <c r="M7" i="39"/>
  <c r="M10" i="39"/>
  <c r="C10" i="40"/>
  <c r="C13" i="40"/>
  <c r="M13" i="39"/>
  <c r="B7" i="40"/>
  <c r="B18" i="40" s="1"/>
  <c r="L7" i="39"/>
  <c r="O8" i="39"/>
  <c r="C8" i="40"/>
  <c r="M8" i="39"/>
  <c r="B8" i="40"/>
  <c r="B19" i="40" s="1"/>
  <c r="L8" i="39"/>
  <c r="L6" i="39"/>
  <c r="B6" i="40"/>
  <c r="B17" i="40" s="1"/>
  <c r="O7" i="39"/>
  <c r="O10" i="39"/>
  <c r="O13" i="39"/>
  <c r="N5" i="39"/>
  <c r="H16" i="39" s="1"/>
  <c r="O11" i="39"/>
  <c r="O12" i="39"/>
  <c r="C5" i="39"/>
  <c r="O14" i="39"/>
  <c r="H17" i="39"/>
  <c r="J21" i="39"/>
  <c r="J71" i="39"/>
  <c r="J70" i="39" s="1"/>
  <c r="J73" i="39" s="1"/>
  <c r="P7" i="39" l="1"/>
  <c r="F7" i="40" s="1"/>
  <c r="E7" i="40"/>
  <c r="I6" i="40"/>
  <c r="H6" i="40"/>
  <c r="I10" i="40"/>
  <c r="H10" i="40"/>
  <c r="P6" i="39"/>
  <c r="F6" i="40" s="1"/>
  <c r="P12" i="39"/>
  <c r="F12" i="40" s="1"/>
  <c r="E12" i="40"/>
  <c r="I13" i="40"/>
  <c r="H13" i="40"/>
  <c r="P13" i="39"/>
  <c r="F13" i="40" s="1"/>
  <c r="E13" i="40"/>
  <c r="P10" i="39"/>
  <c r="F10" i="40" s="1"/>
  <c r="E10" i="40"/>
  <c r="F14" i="40"/>
  <c r="E14" i="40"/>
  <c r="I7" i="40"/>
  <c r="H7" i="40"/>
  <c r="I14" i="40"/>
  <c r="H14" i="40"/>
  <c r="P9" i="39"/>
  <c r="F9" i="40" s="1"/>
  <c r="E9" i="40"/>
  <c r="M5" i="39"/>
  <c r="P11" i="39"/>
  <c r="F11" i="40" s="1"/>
  <c r="E11" i="40"/>
  <c r="I12" i="40"/>
  <c r="H12" i="40"/>
  <c r="I11" i="40"/>
  <c r="H11" i="40"/>
  <c r="I9" i="40"/>
  <c r="H9" i="40"/>
  <c r="I8" i="40"/>
  <c r="H8" i="40"/>
  <c r="C5" i="40"/>
  <c r="P8" i="39"/>
  <c r="F8" i="40" s="1"/>
  <c r="E8" i="40"/>
  <c r="O5" i="39"/>
  <c r="I16" i="39" s="1"/>
  <c r="I17" i="39"/>
  <c r="I5" i="33"/>
  <c r="I11" i="36"/>
  <c r="I12" i="36" s="1"/>
  <c r="I5" i="37"/>
  <c r="I11" i="37" s="1"/>
  <c r="I12" i="37" s="1"/>
  <c r="I82" i="37"/>
  <c r="I106" i="37" s="1"/>
  <c r="I73" i="37"/>
  <c r="I37" i="37"/>
  <c r="I43" i="37" s="1"/>
  <c r="L86" i="37"/>
  <c r="I82" i="36"/>
  <c r="I106" i="36" s="1"/>
  <c r="I73" i="36"/>
  <c r="L11" i="36"/>
  <c r="I37" i="36"/>
  <c r="I43" i="36" s="1"/>
  <c r="I5" i="40" l="1"/>
  <c r="J17" i="39"/>
  <c r="P5" i="39"/>
  <c r="J16" i="39" s="1"/>
  <c r="E5" i="40"/>
  <c r="F5" i="40"/>
  <c r="H5" i="40"/>
  <c r="I15" i="39"/>
  <c r="L11" i="37"/>
  <c r="L86" i="36"/>
  <c r="I63" i="37"/>
  <c r="I50" i="37"/>
  <c r="I62" i="37"/>
  <c r="I49" i="37"/>
  <c r="I61" i="37"/>
  <c r="I48" i="37"/>
  <c r="I60" i="37"/>
  <c r="I51" i="37"/>
  <c r="I59" i="37"/>
  <c r="I58" i="37"/>
  <c r="I17" i="37"/>
  <c r="I102" i="37"/>
  <c r="I53" i="37"/>
  <c r="I16" i="37"/>
  <c r="I52" i="37"/>
  <c r="I63" i="36"/>
  <c r="I50" i="36"/>
  <c r="I62" i="36"/>
  <c r="I49" i="36"/>
  <c r="I61" i="36"/>
  <c r="I48" i="36"/>
  <c r="I60" i="36"/>
  <c r="I59" i="36"/>
  <c r="I17" i="36"/>
  <c r="I16" i="36"/>
  <c r="I52" i="36"/>
  <c r="I53" i="36"/>
  <c r="I58" i="36"/>
  <c r="I102" i="36"/>
  <c r="I51" i="36"/>
  <c r="J15" i="39" l="1"/>
  <c r="I18" i="37"/>
  <c r="I64" i="37"/>
  <c r="I72" i="37" s="1"/>
  <c r="I74" i="37" s="1"/>
  <c r="I105" i="37" s="1"/>
  <c r="I54" i="37"/>
  <c r="I104" i="37" s="1"/>
  <c r="I64" i="36"/>
  <c r="I72" i="36" s="1"/>
  <c r="I74" i="36" s="1"/>
  <c r="I105" i="36" s="1"/>
  <c r="I18" i="36"/>
  <c r="I54" i="36"/>
  <c r="I104" i="36" s="1"/>
  <c r="I41" i="37" l="1"/>
  <c r="I28" i="37"/>
  <c r="I27" i="37"/>
  <c r="I23" i="37"/>
  <c r="I26" i="37"/>
  <c r="I21" i="37"/>
  <c r="I25" i="37"/>
  <c r="I24" i="37"/>
  <c r="I22" i="37"/>
  <c r="I41" i="36"/>
  <c r="I27" i="36"/>
  <c r="I28" i="36"/>
  <c r="I23" i="36"/>
  <c r="I21" i="36"/>
  <c r="I26" i="36"/>
  <c r="I25" i="36"/>
  <c r="I24" i="36"/>
  <c r="I22" i="36"/>
  <c r="I29" i="37" l="1"/>
  <c r="I42" i="37" s="1"/>
  <c r="I44" i="37" s="1"/>
  <c r="I103" i="37" s="1"/>
  <c r="I107" i="37" s="1"/>
  <c r="I86" i="37" s="1"/>
  <c r="I29" i="36"/>
  <c r="I42" i="36" s="1"/>
  <c r="I44" i="36" s="1"/>
  <c r="I103" i="36" s="1"/>
  <c r="I107" i="36" s="1"/>
  <c r="I96" i="37" l="1"/>
  <c r="I97" i="37" s="1"/>
  <c r="I98" i="37" s="1"/>
  <c r="I89" i="37" s="1"/>
  <c r="I92" i="37" s="1"/>
  <c r="I108" i="37" s="1"/>
  <c r="I109" i="37" s="1"/>
  <c r="H14" i="39" s="1"/>
  <c r="I86" i="36"/>
  <c r="I96" i="36" s="1"/>
  <c r="I97" i="36" s="1"/>
  <c r="I98" i="36" s="1"/>
  <c r="I89" i="36" s="1"/>
  <c r="I5" i="27"/>
  <c r="I5" i="29"/>
  <c r="I5" i="31"/>
  <c r="I5" i="30"/>
  <c r="I82" i="33"/>
  <c r="I106" i="33" s="1"/>
  <c r="I73" i="33"/>
  <c r="I5" i="32"/>
  <c r="I82" i="32"/>
  <c r="I106" i="32" s="1"/>
  <c r="I73" i="32"/>
  <c r="I82" i="31"/>
  <c r="I106" i="31" s="1"/>
  <c r="I73" i="31"/>
  <c r="I82" i="30"/>
  <c r="I106" i="30" s="1"/>
  <c r="I73" i="30"/>
  <c r="I82" i="29"/>
  <c r="I106" i="29" s="1"/>
  <c r="I73" i="29"/>
  <c r="I82" i="28"/>
  <c r="I106" i="28" s="1"/>
  <c r="I73" i="28"/>
  <c r="I82" i="27"/>
  <c r="I106" i="27" s="1"/>
  <c r="I73" i="27"/>
  <c r="I14" i="39" l="1"/>
  <c r="J14" i="39" s="1"/>
  <c r="L86" i="30"/>
  <c r="B111" i="37"/>
  <c r="C25" i="40"/>
  <c r="I92" i="36"/>
  <c r="I108" i="36" s="1"/>
  <c r="I109" i="36" s="1"/>
  <c r="I11" i="31"/>
  <c r="I12" i="31" s="1"/>
  <c r="I53" i="31" s="1"/>
  <c r="I11" i="32"/>
  <c r="I12" i="32" s="1"/>
  <c r="I11" i="29"/>
  <c r="I12" i="29" s="1"/>
  <c r="I60" i="29" s="1"/>
  <c r="I11" i="28"/>
  <c r="I12" i="28" s="1"/>
  <c r="I11" i="27"/>
  <c r="I12" i="27" s="1"/>
  <c r="I52" i="27" s="1"/>
  <c r="I11" i="30"/>
  <c r="I12" i="30" s="1"/>
  <c r="I102" i="30" s="1"/>
  <c r="L11" i="32"/>
  <c r="L11" i="33"/>
  <c r="L86" i="32"/>
  <c r="N15" i="31"/>
  <c r="N16" i="31" s="1"/>
  <c r="L86" i="31"/>
  <c r="L11" i="31"/>
  <c r="L11" i="29"/>
  <c r="L86" i="28"/>
  <c r="I11" i="33"/>
  <c r="I12" i="33" s="1"/>
  <c r="L86" i="33"/>
  <c r="L11" i="30"/>
  <c r="I37" i="29"/>
  <c r="I43" i="29" s="1"/>
  <c r="L86" i="29"/>
  <c r="L11" i="28"/>
  <c r="L86" i="27"/>
  <c r="L11" i="27"/>
  <c r="I37" i="27"/>
  <c r="I43" i="27" s="1"/>
  <c r="D25" i="40" l="1"/>
  <c r="E25" i="40" s="1"/>
  <c r="H9" i="39"/>
  <c r="I9" i="39" s="1"/>
  <c r="J9" i="39" s="1"/>
  <c r="B111" i="36"/>
  <c r="I50" i="31"/>
  <c r="I63" i="31"/>
  <c r="I17" i="31"/>
  <c r="I51" i="31"/>
  <c r="I49" i="31"/>
  <c r="I58" i="31"/>
  <c r="I62" i="31"/>
  <c r="I59" i="31"/>
  <c r="I16" i="31"/>
  <c r="I48" i="31"/>
  <c r="I52" i="31"/>
  <c r="I60" i="31"/>
  <c r="I61" i="31"/>
  <c r="I102" i="31"/>
  <c r="I49" i="27"/>
  <c r="I61" i="27"/>
  <c r="I49" i="29"/>
  <c r="I59" i="29"/>
  <c r="I52" i="29"/>
  <c r="I62" i="29"/>
  <c r="I58" i="29"/>
  <c r="I50" i="29"/>
  <c r="I51" i="29"/>
  <c r="I37" i="31"/>
  <c r="I43" i="31" s="1"/>
  <c r="I63" i="27"/>
  <c r="I17" i="29"/>
  <c r="I50" i="27"/>
  <c r="I59" i="27"/>
  <c r="I16" i="27"/>
  <c r="I53" i="29"/>
  <c r="I48" i="29"/>
  <c r="I53" i="27"/>
  <c r="I102" i="27"/>
  <c r="I60" i="27"/>
  <c r="I63" i="29"/>
  <c r="I61" i="29"/>
  <c r="I58" i="27"/>
  <c r="I62" i="27"/>
  <c r="I51" i="27"/>
  <c r="I17" i="27"/>
  <c r="I48" i="27"/>
  <c r="I16" i="29"/>
  <c r="I102" i="29"/>
  <c r="I58" i="30"/>
  <c r="I63" i="30"/>
  <c r="I51" i="30"/>
  <c r="I52" i="30"/>
  <c r="I59" i="30"/>
  <c r="I53" i="30"/>
  <c r="I60" i="30"/>
  <c r="I61" i="30"/>
  <c r="I49" i="30"/>
  <c r="I16" i="30"/>
  <c r="I48" i="30"/>
  <c r="I50" i="30"/>
  <c r="I62" i="30"/>
  <c r="I17" i="30"/>
  <c r="I61" i="33"/>
  <c r="I60" i="33"/>
  <c r="I49" i="33"/>
  <c r="I50" i="33"/>
  <c r="I52" i="33"/>
  <c r="I51" i="33"/>
  <c r="I37" i="33"/>
  <c r="I43" i="33" s="1"/>
  <c r="I62" i="33"/>
  <c r="I48" i="33"/>
  <c r="I16" i="33"/>
  <c r="I63" i="33"/>
  <c r="I53" i="33"/>
  <c r="I102" i="33"/>
  <c r="I17" i="33"/>
  <c r="I58" i="33"/>
  <c r="I59" i="33"/>
  <c r="I102" i="32"/>
  <c r="I61" i="32"/>
  <c r="I52" i="32"/>
  <c r="I48" i="32"/>
  <c r="I17" i="32"/>
  <c r="I62" i="32"/>
  <c r="I53" i="32"/>
  <c r="I60" i="32"/>
  <c r="I51" i="32"/>
  <c r="I16" i="32"/>
  <c r="I49" i="32"/>
  <c r="I63" i="32"/>
  <c r="I59" i="32"/>
  <c r="I50" i="32"/>
  <c r="I58" i="32"/>
  <c r="I37" i="32"/>
  <c r="I43" i="32" s="1"/>
  <c r="I102" i="28"/>
  <c r="I61" i="28"/>
  <c r="I52" i="28"/>
  <c r="I48" i="28"/>
  <c r="I17" i="28"/>
  <c r="I58" i="28"/>
  <c r="I60" i="28"/>
  <c r="I51" i="28"/>
  <c r="I16" i="28"/>
  <c r="I49" i="28"/>
  <c r="I63" i="28"/>
  <c r="I59" i="28"/>
  <c r="I50" i="28"/>
  <c r="I62" i="28"/>
  <c r="I53" i="28"/>
  <c r="I37" i="28"/>
  <c r="I43" i="28" s="1"/>
  <c r="D24" i="40" l="1"/>
  <c r="E24" i="40" s="1"/>
  <c r="I18" i="31"/>
  <c r="I24" i="31" s="1"/>
  <c r="I54" i="29"/>
  <c r="I104" i="29" s="1"/>
  <c r="I18" i="29"/>
  <c r="I26" i="29" s="1"/>
  <c r="I54" i="31"/>
  <c r="I104" i="31" s="1"/>
  <c r="I64" i="31"/>
  <c r="I72" i="31" s="1"/>
  <c r="I74" i="31" s="1"/>
  <c r="I105" i="31" s="1"/>
  <c r="I54" i="27"/>
  <c r="I104" i="27" s="1"/>
  <c r="I64" i="27"/>
  <c r="I72" i="27" s="1"/>
  <c r="I74" i="27" s="1"/>
  <c r="I105" i="27" s="1"/>
  <c r="I18" i="27"/>
  <c r="I41" i="27" s="1"/>
  <c r="I64" i="29"/>
  <c r="I72" i="29" s="1"/>
  <c r="I74" i="29" s="1"/>
  <c r="I105" i="29" s="1"/>
  <c r="I37" i="30"/>
  <c r="I43" i="30" s="1"/>
  <c r="I18" i="33"/>
  <c r="I27" i="33" s="1"/>
  <c r="I54" i="30"/>
  <c r="I104" i="30" s="1"/>
  <c r="I18" i="32"/>
  <c r="I41" i="32" s="1"/>
  <c r="I54" i="33"/>
  <c r="I104" i="33" s="1"/>
  <c r="I64" i="33"/>
  <c r="I72" i="33" s="1"/>
  <c r="I74" i="33" s="1"/>
  <c r="I105" i="33" s="1"/>
  <c r="I18" i="30"/>
  <c r="I64" i="30"/>
  <c r="I72" i="30" s="1"/>
  <c r="I74" i="30" s="1"/>
  <c r="I105" i="30" s="1"/>
  <c r="I54" i="32"/>
  <c r="I104" i="32" s="1"/>
  <c r="I64" i="32"/>
  <c r="I72" i="32" s="1"/>
  <c r="I74" i="32" s="1"/>
  <c r="I105" i="32" s="1"/>
  <c r="I54" i="28"/>
  <c r="I104" i="28" s="1"/>
  <c r="I64" i="28"/>
  <c r="I72" i="28" s="1"/>
  <c r="I74" i="28" s="1"/>
  <c r="I105" i="28" s="1"/>
  <c r="I18" i="28"/>
  <c r="I22" i="29" l="1"/>
  <c r="I23" i="29"/>
  <c r="I27" i="29"/>
  <c r="I23" i="31"/>
  <c r="I26" i="31"/>
  <c r="I22" i="31"/>
  <c r="I28" i="31"/>
  <c r="I27" i="31"/>
  <c r="I21" i="31"/>
  <c r="I41" i="31"/>
  <c r="I25" i="31"/>
  <c r="I28" i="29"/>
  <c r="I25" i="29"/>
  <c r="I24" i="29"/>
  <c r="I21" i="29"/>
  <c r="I23" i="27"/>
  <c r="I41" i="29"/>
  <c r="I21" i="27"/>
  <c r="I28" i="27"/>
  <c r="I27" i="27"/>
  <c r="I22" i="27"/>
  <c r="I24" i="27"/>
  <c r="I25" i="27"/>
  <c r="I26" i="27"/>
  <c r="I22" i="32"/>
  <c r="I23" i="32"/>
  <c r="I25" i="32"/>
  <c r="I27" i="32"/>
  <c r="I28" i="32"/>
  <c r="I21" i="32"/>
  <c r="I26" i="32"/>
  <c r="I24" i="32"/>
  <c r="I28" i="33"/>
  <c r="I23" i="33"/>
  <c r="I25" i="33"/>
  <c r="I41" i="33"/>
  <c r="I22" i="33"/>
  <c r="I24" i="33"/>
  <c r="I26" i="33"/>
  <c r="I21" i="33"/>
  <c r="I41" i="30"/>
  <c r="I28" i="30"/>
  <c r="I25" i="30"/>
  <c r="I22" i="30"/>
  <c r="I27" i="30"/>
  <c r="I24" i="30"/>
  <c r="I23" i="30"/>
  <c r="I21" i="30"/>
  <c r="I26" i="30"/>
  <c r="I41" i="28"/>
  <c r="I26" i="28"/>
  <c r="I27" i="28"/>
  <c r="I21" i="28"/>
  <c r="I24" i="28"/>
  <c r="I22" i="28"/>
  <c r="I25" i="28"/>
  <c r="I23" i="28"/>
  <c r="I28" i="28"/>
  <c r="I29" i="31" l="1"/>
  <c r="I42" i="31" s="1"/>
  <c r="I44" i="31" s="1"/>
  <c r="I103" i="31" s="1"/>
  <c r="I107" i="31" s="1"/>
  <c r="I86" i="31" s="1"/>
  <c r="I29" i="29"/>
  <c r="I42" i="29" s="1"/>
  <c r="I44" i="29" s="1"/>
  <c r="I103" i="29" s="1"/>
  <c r="I107" i="29" s="1"/>
  <c r="I86" i="29" s="1"/>
  <c r="I29" i="27"/>
  <c r="I42" i="27" s="1"/>
  <c r="I44" i="27" s="1"/>
  <c r="I103" i="27" s="1"/>
  <c r="I107" i="27" s="1"/>
  <c r="I86" i="27" s="1"/>
  <c r="I29" i="32"/>
  <c r="I42" i="32" s="1"/>
  <c r="I44" i="32" s="1"/>
  <c r="I103" i="32" s="1"/>
  <c r="I107" i="32" s="1"/>
  <c r="I29" i="33"/>
  <c r="I42" i="33" s="1"/>
  <c r="I44" i="33" s="1"/>
  <c r="I103" i="33" s="1"/>
  <c r="I107" i="33" s="1"/>
  <c r="I29" i="30"/>
  <c r="I42" i="30" s="1"/>
  <c r="I44" i="30" s="1"/>
  <c r="I103" i="30" s="1"/>
  <c r="I107" i="30" s="1"/>
  <c r="I29" i="28"/>
  <c r="I42" i="28" s="1"/>
  <c r="I44" i="28" s="1"/>
  <c r="I103" i="28" s="1"/>
  <c r="I107" i="28" s="1"/>
  <c r="I86" i="28" s="1"/>
  <c r="I96" i="31" l="1"/>
  <c r="I97" i="31" s="1"/>
  <c r="I98" i="31" s="1"/>
  <c r="I89" i="31" s="1"/>
  <c r="I92" i="31" s="1"/>
  <c r="I108" i="31" s="1"/>
  <c r="I109" i="31" s="1"/>
  <c r="I96" i="29"/>
  <c r="I97" i="29" s="1"/>
  <c r="I98" i="29" s="1"/>
  <c r="I89" i="29" s="1"/>
  <c r="I92" i="29" s="1"/>
  <c r="I108" i="29" s="1"/>
  <c r="I109" i="29" s="1"/>
  <c r="H8" i="39" s="1"/>
  <c r="I8" i="39" s="1"/>
  <c r="J8" i="39" s="1"/>
  <c r="I86" i="32"/>
  <c r="I96" i="32" s="1"/>
  <c r="I97" i="32" s="1"/>
  <c r="I98" i="32" s="1"/>
  <c r="I89" i="32" s="1"/>
  <c r="I92" i="32" s="1"/>
  <c r="I108" i="32" s="1"/>
  <c r="I109" i="32" s="1"/>
  <c r="H11" i="39" s="1"/>
  <c r="I11" i="39" s="1"/>
  <c r="J11" i="39" s="1"/>
  <c r="I86" i="30"/>
  <c r="I96" i="30" s="1"/>
  <c r="I97" i="30" s="1"/>
  <c r="I98" i="30" s="1"/>
  <c r="I89" i="30" s="1"/>
  <c r="I92" i="30" s="1"/>
  <c r="I108" i="30" s="1"/>
  <c r="I109" i="30" s="1"/>
  <c r="H7" i="39" s="1"/>
  <c r="I7" i="39" s="1"/>
  <c r="J7" i="39" s="1"/>
  <c r="I96" i="27"/>
  <c r="I97" i="27" s="1"/>
  <c r="I98" i="27" s="1"/>
  <c r="I89" i="27" s="1"/>
  <c r="I92" i="27" s="1"/>
  <c r="I108" i="27" s="1"/>
  <c r="I109" i="27" s="1"/>
  <c r="H6" i="39" s="1"/>
  <c r="I6" i="39" s="1"/>
  <c r="I86" i="33"/>
  <c r="I96" i="33" s="1"/>
  <c r="I97" i="33" s="1"/>
  <c r="I98" i="33" s="1"/>
  <c r="I89" i="33" s="1"/>
  <c r="I92" i="33" s="1"/>
  <c r="I108" i="33" s="1"/>
  <c r="I109" i="33" s="1"/>
  <c r="H12" i="39" s="1"/>
  <c r="I12" i="39" s="1"/>
  <c r="J12" i="39" s="1"/>
  <c r="I96" i="28"/>
  <c r="I97" i="28" s="1"/>
  <c r="I98" i="28" s="1"/>
  <c r="I89" i="28" s="1"/>
  <c r="I92" i="28" s="1"/>
  <c r="I108" i="28" s="1"/>
  <c r="I109" i="28" s="1"/>
  <c r="H13" i="39" s="1"/>
  <c r="I13" i="39" s="1"/>
  <c r="J13" i="39" s="1"/>
  <c r="C21" i="40" l="1"/>
  <c r="H10" i="39"/>
  <c r="I10" i="39" s="1"/>
  <c r="J10" i="39" s="1"/>
  <c r="B111" i="31"/>
  <c r="C18" i="40"/>
  <c r="J6" i="39"/>
  <c r="C19" i="40"/>
  <c r="B111" i="29"/>
  <c r="C17" i="40"/>
  <c r="C22" i="40"/>
  <c r="B111" i="32"/>
  <c r="B111" i="30"/>
  <c r="B111" i="27"/>
  <c r="C23" i="40"/>
  <c r="B111" i="33"/>
  <c r="B111" i="28"/>
  <c r="D17" i="40" l="1"/>
  <c r="E17" i="40" s="1"/>
  <c r="D20" i="40"/>
  <c r="E20" i="40" s="1"/>
  <c r="D22" i="40"/>
  <c r="E22" i="40" s="1"/>
  <c r="E19" i="40"/>
  <c r="D19" i="40"/>
  <c r="D23" i="40"/>
  <c r="E23" i="40" s="1"/>
  <c r="D21" i="40"/>
  <c r="E21" i="40" s="1"/>
  <c r="D18" i="40"/>
  <c r="E18" i="40" s="1"/>
  <c r="J5" i="39"/>
  <c r="I5" i="39"/>
  <c r="I18" i="39" s="1"/>
  <c r="D26" i="40" l="1"/>
  <c r="E26" i="40"/>
  <c r="J18" i="39"/>
  <c r="I29" i="40" l="1"/>
  <c r="I35" i="39"/>
  <c r="C58" i="39" l="1"/>
  <c r="L41" i="39"/>
  <c r="P40" i="39"/>
  <c r="C59" i="39" l="1"/>
  <c r="C65" i="39"/>
  <c r="C60" i="39"/>
  <c r="C62" i="39"/>
  <c r="C63" i="39"/>
  <c r="C61" i="39"/>
  <c r="C64" i="39"/>
  <c r="C66" i="39" l="1"/>
</calcChain>
</file>

<file path=xl/sharedStrings.xml><?xml version="1.0" encoding="utf-8"?>
<sst xmlns="http://schemas.openxmlformats.org/spreadsheetml/2006/main" count="1817" uniqueCount="236">
  <si>
    <t>Memória de Cálculo Vale Refeição e Vale Transporte</t>
  </si>
  <si>
    <t>Especificação</t>
  </si>
  <si>
    <t>Qnt.</t>
  </si>
  <si>
    <t>Unidade</t>
  </si>
  <si>
    <t>Meses</t>
  </si>
  <si>
    <t xml:space="preserve"> Unitário</t>
  </si>
  <si>
    <t>Valor Unitário - com encargos provisões</t>
  </si>
  <si>
    <t>Valor Mensal</t>
  </si>
  <si>
    <t>Valor total</t>
  </si>
  <si>
    <t>Vale Refeição Unitário*</t>
  </si>
  <si>
    <t>Vale Refeição Total Mensal</t>
  </si>
  <si>
    <t>Vale Refeição Total 24 meses</t>
  </si>
  <si>
    <t>Vale Transporte** Unitário</t>
  </si>
  <si>
    <t>Vale Transporte Total Menal</t>
  </si>
  <si>
    <t>Vale Transporte Total 24 meses</t>
  </si>
  <si>
    <t>CONTRATAÇÃO DE PESSOAL</t>
  </si>
  <si>
    <t>pessoa</t>
  </si>
  <si>
    <t>Benefícios</t>
  </si>
  <si>
    <t>Vale Refeição (ver memória de cálculo)</t>
  </si>
  <si>
    <t>-</t>
  </si>
  <si>
    <t>mês</t>
  </si>
  <si>
    <t>(*) valor de Referência SINBREF 2023/2023 - R$ 26,90</t>
  </si>
  <si>
    <t>Vale Transporte (ver memória de cálculo)</t>
  </si>
  <si>
    <t>TOTAL RECURSOS HUMANOS</t>
  </si>
  <si>
    <t>Valor Unitário</t>
  </si>
  <si>
    <t>VALOR EDITAL</t>
  </si>
  <si>
    <t>ECOS</t>
  </si>
  <si>
    <t>movida</t>
  </si>
  <si>
    <t>unidas</t>
  </si>
  <si>
    <t>VALOR GLOBAL</t>
  </si>
  <si>
    <t xml:space="preserve">Valor  Unid </t>
  </si>
  <si>
    <t>Valor Total</t>
  </si>
  <si>
    <t xml:space="preserve"> </t>
  </si>
  <si>
    <t>TOTAL</t>
  </si>
  <si>
    <t>CRONOGRAMA DE TRANSFERÊNCIA DE RECURSOS ORÇAMENTÁRIOS</t>
  </si>
  <si>
    <t>Repasse</t>
  </si>
  <si>
    <t>Valor</t>
  </si>
  <si>
    <t>Prazo</t>
  </si>
  <si>
    <t>1º Repasse (período de estruturação)
Parcela: 1ª, 2ª e 3ª</t>
  </si>
  <si>
    <t>Publicação do Termo de Colaboração</t>
  </si>
  <si>
    <t>2º Repasse (desenvolvimento das atividades)
Parcela: 4ª, 5ª e 6ª</t>
  </si>
  <si>
    <t>3º Repasse (desenvolvimento das atividades)
Parcela: 7ª, 8ª e 9ª</t>
  </si>
  <si>
    <t>90 dias após o segundo repasse</t>
  </si>
  <si>
    <t>4º Repasse (desenvolvimento das atividades)
Parcela: 10ª, 11ª e 12ª</t>
  </si>
  <si>
    <t>90 dias após o terceiro repasse</t>
  </si>
  <si>
    <t>5º Repasse (desenvolvimento das atividades)
Parcela: 13ª, 14ª e 15ª</t>
  </si>
  <si>
    <t>90 dias após o quarto repasse</t>
  </si>
  <si>
    <t>6º Repasse (desenvolvimento das atividades)
Parcela: 16ª, 17ª e 18ª</t>
  </si>
  <si>
    <t>90 dias após o quinto repasse</t>
  </si>
  <si>
    <t>7º Repasse (desenvolvimento das atividades)
Parcela: 19ª, 20ª e 21ª</t>
  </si>
  <si>
    <t>90 dias após o sexto repasse</t>
  </si>
  <si>
    <t>8º Repasse (desenvolvimento das atividades)
Parcela: 22ª, 23ª e 24ª</t>
  </si>
  <si>
    <t>90 dias após o sétimo repasse</t>
  </si>
  <si>
    <t>1. Consultoria de Comunicação</t>
  </si>
  <si>
    <t>1.1 Fotografia e Filmagem das atividades do projeto - alta qualidade, para alimentação das redes sociais e documentação do projeto (Filmaker)</t>
  </si>
  <si>
    <t>1.4 Assessoria de Comunicação</t>
  </si>
  <si>
    <t>PLANILHA DE CUSTO DETALHADA - COORDENADOR ADMINISTRATIVO</t>
  </si>
  <si>
    <t>MÓDULO 1 - COMPOSIÇÃO DA REMUNERAÇÃO</t>
  </si>
  <si>
    <t>COMPOSIÇÃO DA REMUNERAÇÃO</t>
  </si>
  <si>
    <t>%</t>
  </si>
  <si>
    <t>VALOR (R$)</t>
  </si>
  <si>
    <t>A</t>
  </si>
  <si>
    <t>Salário Base</t>
  </si>
  <si>
    <t>B</t>
  </si>
  <si>
    <t>Adicional Periculosidade</t>
  </si>
  <si>
    <t>C</t>
  </si>
  <si>
    <t>Adicional Insalubridade</t>
  </si>
  <si>
    <t>D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</si>
  <si>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</si>
  <si>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</si>
  <si>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</si>
  <si>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</si>
  <si>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</si>
  <si>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</si>
  <si>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</si>
  <si>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</si>
  <si>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</si>
  <si>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</si>
  <si>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</t>
  </si>
  <si>
    <t>Férias e Adicional de Férias</t>
  </si>
  <si>
    <t>TOTAL SUBMÓDULO 2.1</t>
  </si>
  <si>
    <t>Submódulo 2.2 - GPS, FGTS e Outras Contribuições</t>
  </si>
  <si>
    <t>INSS</t>
  </si>
  <si>
    <t>Salário Educação</t>
  </si>
  <si>
    <t>SAT (Seguro Acidente de Trabalho)</t>
  </si>
  <si>
    <t>SESC ou SESI</t>
  </si>
  <si>
    <t>SENAI - SENAC</t>
  </si>
  <si>
    <t>SEBRAE</t>
  </si>
  <si>
    <t>INCRA</t>
  </si>
  <si>
    <t>H</t>
  </si>
  <si>
    <t>FGTS</t>
  </si>
  <si>
    <t>TOTAL SUBMÓDULO 2.2</t>
  </si>
  <si>
    <t>Submódulo 2.3 - Benefícios Mensais e Diários</t>
  </si>
  <si>
    <t>VR. DIÁRIO</t>
  </si>
  <si>
    <t>Transporte</t>
  </si>
  <si>
    <t>Auxílio-Refeição/Alimentação</t>
  </si>
  <si>
    <t>Assistência Médica e Familiar</t>
  </si>
  <si>
    <t xml:space="preserve">Outros </t>
  </si>
  <si>
    <t>TOTAL SUBMÓDULO 2.3</t>
  </si>
  <si>
    <t>QUADRO-RESUMO DO MÓDULO 2 - ENCARGOS, BENEFÍCIOS ANUAIS, MENSAIS E DIÁRIOS</t>
  </si>
  <si>
    <t>Módulo 2 - Encargos, Benefícios Anuais, Mensais e Diários</t>
  </si>
  <si>
    <t>13º Salário, Férias e Adicional de Férias</t>
  </si>
  <si>
    <t>GPS, FGTS e Outras Contribuições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</si>
  <si>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</si>
  <si>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</si>
  <si>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</si>
  <si>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</si>
  <si>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</si>
  <si>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</si>
  <si>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</si>
  <si>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</si>
  <si>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</si>
  <si>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Trabalhado.</t>
  </si>
  <si>
    <t>TOTAL DO MÓDULO 3</t>
  </si>
  <si>
    <t>MÓDULO 4 – CUSTO DE REPOSIÇÃO DO PROFISSIONAL AUSENTE</t>
  </si>
  <si>
    <t>Submódulo 4.1 - Ausências Legais</t>
  </si>
  <si>
    <t>Férias</t>
  </si>
  <si>
    <t>Ausências Legais</t>
  </si>
  <si>
    <t>Licença Paternidade</t>
  </si>
  <si>
    <t>Ausência por Acidente de Trabalho</t>
  </si>
  <si>
    <t>Afastamento Maternidade</t>
  </si>
  <si>
    <t>Substituto na Cobertura de Outras Ausências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</si>
  <si>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</si>
  <si>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</si>
  <si>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</si>
  <si>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</si>
  <si>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</si>
  <si>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</si>
  <si>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Intrajornada</t>
  </si>
  <si>
    <t>TOTAL DO MÓDULO 4</t>
  </si>
  <si>
    <t>MÓDULO 5 – INSUMOS DIVERSOS</t>
  </si>
  <si>
    <t>INSUMOS DIVERSOS</t>
  </si>
  <si>
    <t>Uniformes</t>
  </si>
  <si>
    <t>Materiais</t>
  </si>
  <si>
    <t>Equipamentos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</si>
  <si>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</si>
  <si>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</si>
  <si>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</si>
  <si>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</si>
  <si>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</si>
  <si>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</si>
  <si>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</si>
  <si>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</si>
  <si>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</si>
  <si>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</si>
  <si>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</si>
  <si>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</si>
  <si>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</si>
  <si>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</si>
  <si>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</si>
  <si>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</si>
  <si>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</si>
  <si>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</si>
  <si>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</si>
  <si>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</si>
  <si>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</si>
  <si>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</si>
  <si>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Encargos</t>
  </si>
  <si>
    <t>Subtotal (A + B + C + D + E)</t>
  </si>
  <si>
    <t>PREÇO TOTAL POR EMPREGADO</t>
  </si>
  <si>
    <t>FATOR K</t>
  </si>
  <si>
    <t>PLANILHA DE CUSTO DETALHADA - ANALISTA DE PROJETOS</t>
  </si>
  <si>
    <t>PLANILHA DE CUSTO DETALHADA</t>
  </si>
  <si>
    <t>Função</t>
  </si>
  <si>
    <t>Salário base</t>
  </si>
  <si>
    <t>Carga Horária semanal</t>
  </si>
  <si>
    <t>Coordenador de Eventos</t>
  </si>
  <si>
    <t>(**) valor de referência Vale Transporte RJ - R$ 4,90 -  R$ 9,90/dia</t>
  </si>
  <si>
    <t>SALÁRIOS 01% ABAIXO</t>
  </si>
  <si>
    <t>Cargo</t>
  </si>
  <si>
    <t>Quant</t>
  </si>
  <si>
    <t>O vale-transporte será custeado pelo beneficiário na parcela equivalente a 6% (seis por cento) de seu salário-base, excluídos quaisquer adicionais ou vantagens (art. 4º, parágrafo único, da Lei nº 7.418/1985 e art. 9º do Decreto nº 95.247/1987).</t>
  </si>
  <si>
    <t>ENCARGOS</t>
  </si>
  <si>
    <t>Valor Total mensal</t>
  </si>
  <si>
    <t>Valor total 24 meses</t>
  </si>
  <si>
    <t>Totais</t>
  </si>
  <si>
    <t>Coordenador Geral</t>
  </si>
  <si>
    <t>Coordenador Administrativo-Financeiro</t>
  </si>
  <si>
    <t>Supervisor de materiais</t>
  </si>
  <si>
    <t>Coordenador Esportivo</t>
  </si>
  <si>
    <t>Assistente de Modalidade</t>
  </si>
  <si>
    <t>Assessor Técnico</t>
  </si>
  <si>
    <t>Fisioterapeuta</t>
  </si>
  <si>
    <t>5 regioes</t>
  </si>
  <si>
    <t>18 modalidades</t>
  </si>
  <si>
    <t>ass de modalidade = 1 por modalidade</t>
  </si>
  <si>
    <t>Auxiliar Administrativo</t>
  </si>
  <si>
    <t xml:space="preserve">oaux adm = 01 por regiaO </t>
  </si>
  <si>
    <t xml:space="preserve">assessor téc = 02 por regiao </t>
  </si>
  <si>
    <t>SERVIÇOS</t>
  </si>
  <si>
    <t>LOGÍSTICA</t>
  </si>
  <si>
    <t>Alimentação (Kit Lanche) 
Kit Lanche contendo 1 biscoito salgado cream cracker , 1 suco de caixinha industrializado, 1 barra de cereal, 1 pacote de amendoim japonês, 1 bananada, 1 mini bolinho recheado</t>
  </si>
  <si>
    <t>Conjunto de uniformes personalizados
Conjunto de uniforme personalizados para atleta contendo camisa, camiseta e bermuda, material DRYFIT em diversos tamanhos(P, M, G, GG, XG)</t>
  </si>
  <si>
    <t>unidades por ano</t>
  </si>
  <si>
    <t>Camisa Polo (dirigentes/técnicos)
Camisa polo em algodão com bordado no peito para dirigentes e técnicos em diversos tamanhos(P, M, G, GG, XG</t>
  </si>
  <si>
    <t>Qnt de unidades</t>
  </si>
  <si>
    <t>Conjunto Agasalho Personalizado 
Conjunto de agasalho personalizado 2 peças(casaco e calça), material poliester em diversos tamanhos(P, M, G, GG, XG</t>
  </si>
  <si>
    <t>Tênis esportivo
Tênis esportivo na cor preta em diversostamanhos</t>
  </si>
  <si>
    <t>Meia Branca Personalizada 
Meia socket branca personalizada em diversos tamanhos</t>
  </si>
  <si>
    <t>Bolsa de Viagem Personalizada
Bolsa de viagem em nylon personalizada</t>
  </si>
  <si>
    <t>Squeeze de plástico
Garrafa estilo squeeze de plástico 500ml personalizada</t>
  </si>
  <si>
    <t>Kit higiene pessoal
(1 sabonete pequeno, 1 shampoo sachê 50ml, 1 condicionadorsachê 50ml, 1 escova de dente adulto, 1 creme dental 30 g)</t>
  </si>
  <si>
    <t xml:space="preserve">ITENS DE VALOR FIXO </t>
  </si>
  <si>
    <t>Serviço de ambulância para eventos esportivos (ambulância + médico + enfermeiro + motorista)</t>
  </si>
  <si>
    <t>Hospedagem (árbitros + atletas + Coordenação)</t>
  </si>
  <si>
    <t>Etapa - Utilização</t>
  </si>
  <si>
    <t>ETAPAS COMPETITIVAS - JERJ</t>
  </si>
  <si>
    <t>Transporte (locação de carros, vans e ônibus</t>
  </si>
  <si>
    <t>“Staff” (contratação de diárias)</t>
  </si>
  <si>
    <t>Aluguel de espaço para competição</t>
  </si>
  <si>
    <t>Alimentação para atletas e equipe</t>
  </si>
  <si>
    <t>ETAPAS COMPETITIVAS - JERJ, JOGOS DA JUVENTUDE E JEB´S</t>
  </si>
  <si>
    <t>Hidratação das competilções</t>
  </si>
  <si>
    <t xml:space="preserve">Materiais gráficos de divulgação </t>
  </si>
  <si>
    <t>Medalhas e troféus e matérias esportivos</t>
  </si>
  <si>
    <t>Transporte (aéreo ou terrestre)</t>
  </si>
  <si>
    <t xml:space="preserve">kit participantes JERJ(Camisa+ sacochila + squeeze) </t>
  </si>
  <si>
    <t>Outras despesas administrativas</t>
  </si>
  <si>
    <t>DURANTE TODA A EXECUÇÃO</t>
  </si>
  <si>
    <t>Valor Fixo total</t>
  </si>
  <si>
    <t xml:space="preserve">Valor variável </t>
  </si>
  <si>
    <t>Valor Anual</t>
  </si>
  <si>
    <t>CONTRAPARTIDA</t>
  </si>
  <si>
    <t>Árbritos</t>
  </si>
  <si>
    <t>Uniforme de trabalho JERJ</t>
  </si>
  <si>
    <t>360 imprimir</t>
  </si>
  <si>
    <t>Printi</t>
  </si>
  <si>
    <t>Valr total edital</t>
  </si>
  <si>
    <t>rascunho</t>
  </si>
  <si>
    <t>ANEXO 2 - PLANILHAS DETALHADAS</t>
  </si>
  <si>
    <t>90 dias após o primeiro repasse</t>
  </si>
  <si>
    <t>unidades/ano</t>
  </si>
  <si>
    <t>Valor enviado ecos</t>
  </si>
  <si>
    <t xml:space="preserve">Jornalismo 
Serviço de produção de matérias, release, informações midiáticas produzidas por profissional com formação de nível superior em jornalismo com experiência na área. Fazer a cobertura e veiculação de notícias sobre eventos esportivos,
competições, datas, projeções e análises. (CONTRATAÇÃO PESSOA JURÍDICA) Transporte, alimentação e hospedagem pagos pelo contratante. Dedicação mensal. (4 meses por ano). </t>
  </si>
  <si>
    <t xml:space="preserve">Fotografia
Serviço de captura de imagens por profissional com seu próprio equipamento (câmeras e demais equipamentos profissionais), para cobertura de eventos esportivos. (CONTRATAÇÃO PESSOA JURÍDICA) Transporte, alimentação e hospedagem pagos pelo contratante. Dedicação mensal.  (4 meses por ano). </t>
  </si>
  <si>
    <t xml:space="preserve">Social Media
Serviço de criação de conteúdos para redes sociais na cobertura de eventos esportivos. Profissionais com experiência na área de comunicação, produção e edição de audiovisual. (CONTRATAÇÃO PESSOA JURÍDICA) Transporte, alimentação e hospedagem pagos pelo contratante. Dedicação mensal.  (4 meses por ano).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</si>
</sst>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_-* #,##0.0000_-;\-* #,##0.0000_-;_-* &quot;-&quot;??_-;_-@_-"/>
    <numFmt numFmtId="167" formatCode="d\.m"/>
    <numFmt numFmtId="168" formatCode="&quot;R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rgb="FF000000"/>
      </right>
      <top/>
      <bottom/>
      <diagonal/>
    </border>
  </borders>
  <cellStyleXfs count="11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165" fontId="0" fillId="0" borderId="0" xfId="1" applyFont="1"/>
    <xf numFmtId="0" fontId="5" fillId="0" borderId="0" xfId="0" applyFont="1" applyAlignment="1">
      <alignment horizontal="center" vertical="center"/>
    </xf>
    <xf numFmtId="1" fontId="0" fillId="0" borderId="0" xfId="1" applyNumberFormat="1" applyFont="1"/>
    <xf numFmtId="0" fontId="0" fillId="0" borderId="0" xfId="0" applyAlignment="1">
      <alignment vertical="center"/>
    </xf>
    <xf numFmtId="165" fontId="0" fillId="0" borderId="0" xfId="1" applyFont="1" applyAlignment="1">
      <alignment vertical="center"/>
    </xf>
    <xf numFmtId="164" fontId="5" fillId="0" borderId="0" xfId="0" applyNumberFormat="1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1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0" xfId="0" applyFont="1"/>
    <xf numFmtId="164" fontId="13" fillId="0" borderId="0" xfId="0" applyNumberFormat="1" applyFont="1"/>
    <xf numFmtId="165" fontId="13" fillId="0" borderId="0" xfId="1" applyFont="1"/>
    <xf numFmtId="165" fontId="13" fillId="0" borderId="0" xfId="1" applyFont="1" applyAlignment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" fontId="14" fillId="0" borderId="7" xfId="0" applyNumberFormat="1" applyFont="1" applyBorder="1" applyAlignment="1">
      <alignment horizontal="center"/>
    </xf>
    <xf numFmtId="165" fontId="14" fillId="0" borderId="7" xfId="1" applyFont="1" applyFill="1" applyBorder="1" applyAlignment="1">
      <alignment horizontal="center"/>
    </xf>
    <xf numFmtId="165" fontId="14" fillId="0" borderId="7" xfId="1" applyFont="1" applyFill="1" applyBorder="1" applyAlignment="1"/>
    <xf numFmtId="165" fontId="14" fillId="0" borderId="7" xfId="1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left" vertical="center" wrapText="1"/>
      <protection locked="0"/>
    </xf>
    <xf numFmtId="165" fontId="14" fillId="0" borderId="7" xfId="1" applyFont="1" applyBorder="1" applyAlignment="1">
      <alignment horizontal="center" vertical="center"/>
    </xf>
    <xf numFmtId="0" fontId="2" fillId="0" borderId="0" xfId="5"/>
    <xf numFmtId="0" fontId="13" fillId="0" borderId="0" xfId="5" applyFont="1"/>
    <xf numFmtId="10" fontId="13" fillId="0" borderId="0" xfId="6" applyNumberFormat="1" applyFont="1"/>
    <xf numFmtId="44" fontId="15" fillId="0" borderId="0" xfId="7" applyFont="1"/>
    <xf numFmtId="0" fontId="11" fillId="0" borderId="14" xfId="5" applyFont="1" applyBorder="1" applyAlignment="1">
      <alignment horizontal="center"/>
    </xf>
    <xf numFmtId="10" fontId="11" fillId="0" borderId="14" xfId="6" applyNumberFormat="1" applyFont="1" applyBorder="1" applyAlignment="1">
      <alignment horizontal="center"/>
    </xf>
    <xf numFmtId="44" fontId="11" fillId="0" borderId="21" xfId="7" applyFont="1" applyBorder="1" applyAlignment="1">
      <alignment horizontal="center"/>
    </xf>
    <xf numFmtId="10" fontId="13" fillId="0" borderId="15" xfId="6" applyNumberFormat="1" applyFont="1" applyBorder="1"/>
    <xf numFmtId="44" fontId="0" fillId="0" borderId="7" xfId="8" applyFont="1" applyBorder="1" applyAlignment="1">
      <alignment vertical="center"/>
    </xf>
    <xf numFmtId="10" fontId="13" fillId="0" borderId="14" xfId="6" applyNumberFormat="1" applyFont="1" applyBorder="1" applyAlignment="1">
      <alignment horizontal="center"/>
    </xf>
    <xf numFmtId="44" fontId="13" fillId="0" borderId="18" xfId="7" applyFont="1" applyBorder="1" applyAlignment="1">
      <alignment horizontal="center"/>
    </xf>
    <xf numFmtId="44" fontId="13" fillId="0" borderId="14" xfId="7" applyFont="1" applyBorder="1" applyAlignment="1">
      <alignment horizontal="center"/>
    </xf>
    <xf numFmtId="9" fontId="13" fillId="0" borderId="14" xfId="5" applyNumberFormat="1" applyFont="1" applyBorder="1" applyAlignment="1">
      <alignment horizontal="center"/>
    </xf>
    <xf numFmtId="166" fontId="0" fillId="0" borderId="0" xfId="9" applyNumberFormat="1" applyFont="1"/>
    <xf numFmtId="44" fontId="11" fillId="0" borderId="14" xfId="7" applyFont="1" applyBorder="1"/>
    <xf numFmtId="0" fontId="11" fillId="0" borderId="0" xfId="5" applyFont="1" applyAlignment="1">
      <alignment horizontal="center"/>
    </xf>
    <xf numFmtId="10" fontId="11" fillId="0" borderId="0" xfId="6" applyNumberFormat="1" applyFont="1" applyAlignment="1">
      <alignment horizontal="center"/>
    </xf>
    <xf numFmtId="44" fontId="11" fillId="0" borderId="0" xfId="7" applyFont="1"/>
    <xf numFmtId="44" fontId="11" fillId="0" borderId="14" xfId="7" applyFont="1" applyBorder="1" applyAlignment="1">
      <alignment horizontal="center"/>
    </xf>
    <xf numFmtId="44" fontId="13" fillId="0" borderId="14" xfId="7" applyFont="1" applyBorder="1"/>
    <xf numFmtId="10" fontId="13" fillId="5" borderId="14" xfId="6" applyNumberFormat="1" applyFont="1" applyFill="1" applyBorder="1" applyAlignment="1">
      <alignment horizontal="center"/>
    </xf>
    <xf numFmtId="0" fontId="11" fillId="0" borderId="0" xfId="5" applyFont="1"/>
    <xf numFmtId="4" fontId="11" fillId="5" borderId="0" xfId="5" applyNumberFormat="1" applyFont="1" applyFill="1"/>
    <xf numFmtId="0" fontId="11" fillId="5" borderId="0" xfId="5" applyFont="1" applyFill="1"/>
    <xf numFmtId="10" fontId="11" fillId="5" borderId="0" xfId="6" applyNumberFormat="1" applyFont="1" applyFill="1"/>
    <xf numFmtId="44" fontId="11" fillId="5" borderId="0" xfId="7" applyFont="1" applyFill="1"/>
    <xf numFmtId="44" fontId="13" fillId="0" borderId="14" xfId="7" applyFont="1" applyBorder="1" applyAlignment="1">
      <alignment horizontal="right"/>
    </xf>
    <xf numFmtId="44" fontId="11" fillId="0" borderId="14" xfId="7" applyFont="1" applyBorder="1" applyAlignment="1">
      <alignment horizontal="right"/>
    </xf>
    <xf numFmtId="167" fontId="11" fillId="0" borderId="14" xfId="5" applyNumberFormat="1" applyFont="1" applyBorder="1" applyAlignment="1">
      <alignment horizontal="center"/>
    </xf>
    <xf numFmtId="10" fontId="13" fillId="5" borderId="14" xfId="5" applyNumberFormat="1" applyFont="1" applyFill="1" applyBorder="1" applyAlignment="1">
      <alignment horizontal="center"/>
    </xf>
    <xf numFmtId="10" fontId="13" fillId="0" borderId="14" xfId="4" applyNumberFormat="1" applyFont="1" applyBorder="1" applyAlignment="1">
      <alignment horizontal="center"/>
    </xf>
    <xf numFmtId="44" fontId="11" fillId="5" borderId="14" xfId="7" applyFont="1" applyFill="1" applyBorder="1"/>
    <xf numFmtId="0" fontId="11" fillId="5" borderId="14" xfId="5" applyFont="1" applyFill="1" applyBorder="1" applyAlignment="1">
      <alignment horizontal="center"/>
    </xf>
    <xf numFmtId="10" fontId="13" fillId="0" borderId="14" xfId="6" applyNumberFormat="1" applyFont="1" applyBorder="1" applyAlignment="1">
      <alignment horizontal="right"/>
    </xf>
    <xf numFmtId="10" fontId="2" fillId="7" borderId="0" xfId="5" applyNumberFormat="1" applyFill="1"/>
    <xf numFmtId="10" fontId="11" fillId="0" borderId="14" xfId="6" applyNumberFormat="1" applyFont="1" applyBorder="1" applyAlignment="1">
      <alignment horizontal="right"/>
    </xf>
    <xf numFmtId="10" fontId="13" fillId="5" borderId="14" xfId="6" applyNumberFormat="1" applyFont="1" applyFill="1" applyBorder="1" applyAlignment="1">
      <alignment horizontal="right"/>
    </xf>
    <xf numFmtId="44" fontId="13" fillId="5" borderId="14" xfId="7" applyFont="1" applyFill="1" applyBorder="1"/>
    <xf numFmtId="0" fontId="13" fillId="0" borderId="0" xfId="5" applyFont="1" applyAlignment="1">
      <alignment horizontal="center"/>
    </xf>
    <xf numFmtId="0" fontId="17" fillId="0" borderId="22" xfId="5" applyFont="1" applyBorder="1" applyAlignment="1">
      <alignment horizontal="center"/>
    </xf>
    <xf numFmtId="10" fontId="17" fillId="0" borderId="6" xfId="6" applyNumberFormat="1" applyFont="1" applyBorder="1" applyAlignment="1"/>
    <xf numFmtId="44" fontId="17" fillId="0" borderId="23" xfId="7" applyFont="1" applyFill="1" applyBorder="1"/>
    <xf numFmtId="0" fontId="17" fillId="0" borderId="24" xfId="5" applyFont="1" applyBorder="1" applyAlignment="1">
      <alignment horizontal="center"/>
    </xf>
    <xf numFmtId="10" fontId="17" fillId="0" borderId="0" xfId="6" applyNumberFormat="1" applyFont="1" applyBorder="1" applyAlignment="1"/>
    <xf numFmtId="44" fontId="17" fillId="0" borderId="25" xfId="7" applyFont="1" applyFill="1" applyBorder="1"/>
    <xf numFmtId="0" fontId="17" fillId="0" borderId="1" xfId="5" applyFont="1" applyBorder="1" applyAlignment="1">
      <alignment horizontal="center"/>
    </xf>
    <xf numFmtId="10" fontId="17" fillId="0" borderId="26" xfId="6" applyNumberFormat="1" applyFont="1" applyBorder="1" applyAlignment="1"/>
    <xf numFmtId="44" fontId="17" fillId="0" borderId="27" xfId="7" applyFont="1" applyFill="1" applyBorder="1"/>
    <xf numFmtId="10" fontId="13" fillId="0" borderId="0" xfId="6" applyNumberFormat="1" applyFont="1" applyAlignment="1">
      <alignment horizontal="center"/>
    </xf>
    <xf numFmtId="0" fontId="13" fillId="0" borderId="14" xfId="5" applyFont="1" applyBorder="1" applyAlignment="1">
      <alignment horizontal="center"/>
    </xf>
    <xf numFmtId="44" fontId="13" fillId="0" borderId="0" xfId="7" applyFont="1"/>
    <xf numFmtId="0" fontId="11" fillId="0" borderId="0" xfId="5" applyFont="1" applyAlignment="1">
      <alignment horizontal="right"/>
    </xf>
    <xf numFmtId="0" fontId="13" fillId="0" borderId="0" xfId="5" applyFont="1" applyAlignment="1">
      <alignment horizontal="left"/>
    </xf>
    <xf numFmtId="10" fontId="13" fillId="0" borderId="0" xfId="6" applyNumberFormat="1" applyFont="1" applyAlignment="1">
      <alignment horizontal="left"/>
    </xf>
    <xf numFmtId="44" fontId="13" fillId="0" borderId="0" xfId="7" applyFont="1" applyAlignment="1">
      <alignment horizontal="left"/>
    </xf>
    <xf numFmtId="10" fontId="15" fillId="0" borderId="0" xfId="6" applyNumberFormat="1" applyFont="1"/>
    <xf numFmtId="49" fontId="14" fillId="0" borderId="7" xfId="0" applyNumberFormat="1" applyFont="1" applyBorder="1" applyAlignment="1">
      <alignment horizontal="left" vertical="center" wrapText="1"/>
    </xf>
    <xf numFmtId="1" fontId="14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14" fillId="0" borderId="4" xfId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2" fontId="14" fillId="8" borderId="4" xfId="0" applyNumberFormat="1" applyFont="1" applyFill="1" applyBorder="1" applyAlignment="1">
      <alignment horizontal="center"/>
    </xf>
    <xf numFmtId="17" fontId="14" fillId="8" borderId="4" xfId="0" applyNumberFormat="1" applyFont="1" applyFill="1" applyBorder="1" applyAlignment="1">
      <alignment horizontal="center"/>
    </xf>
    <xf numFmtId="165" fontId="14" fillId="8" borderId="4" xfId="1" applyFont="1" applyFill="1" applyBorder="1" applyAlignment="1">
      <alignment horizontal="center"/>
    </xf>
    <xf numFmtId="165" fontId="12" fillId="8" borderId="4" xfId="1" applyFont="1" applyFill="1" applyBorder="1" applyAlignment="1">
      <alignment horizontal="center" vertical="center"/>
    </xf>
    <xf numFmtId="1" fontId="14" fillId="0" borderId="7" xfId="3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 wrapText="1"/>
    </xf>
    <xf numFmtId="165" fontId="14" fillId="0" borderId="7" xfId="1" applyFont="1" applyBorder="1" applyAlignment="1">
      <alignment vertical="center"/>
    </xf>
    <xf numFmtId="165" fontId="7" fillId="0" borderId="0" xfId="1" applyFont="1" applyAlignment="1">
      <alignment vertical="center"/>
    </xf>
    <xf numFmtId="164" fontId="2" fillId="0" borderId="0" xfId="5" applyNumberFormat="1"/>
    <xf numFmtId="165" fontId="0" fillId="0" borderId="0" xfId="0" applyNumberFormat="1"/>
    <xf numFmtId="164" fontId="0" fillId="0" borderId="0" xfId="0" applyNumberFormat="1"/>
    <xf numFmtId="0" fontId="11" fillId="0" borderId="0" xfId="0" applyFont="1"/>
    <xf numFmtId="44" fontId="14" fillId="0" borderId="0" xfId="0" applyNumberFormat="1" applyFont="1"/>
    <xf numFmtId="0" fontId="3" fillId="0" borderId="0" xfId="0" applyFont="1"/>
    <xf numFmtId="165" fontId="5" fillId="9" borderId="30" xfId="1" applyFont="1" applyFill="1" applyBorder="1" applyAlignment="1">
      <alignment horizontal="center" vertical="center"/>
    </xf>
    <xf numFmtId="165" fontId="5" fillId="0" borderId="31" xfId="1" applyFont="1" applyBorder="1" applyAlignment="1">
      <alignment horizontal="center" vertical="center"/>
    </xf>
    <xf numFmtId="165" fontId="5" fillId="9" borderId="31" xfId="1" applyFont="1" applyFill="1" applyBorder="1" applyAlignment="1">
      <alignment horizontal="center" vertical="center"/>
    </xf>
    <xf numFmtId="49" fontId="12" fillId="8" borderId="7" xfId="0" applyNumberFormat="1" applyFont="1" applyFill="1" applyBorder="1" applyAlignment="1">
      <alignment horizontal="left"/>
    </xf>
    <xf numFmtId="16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165" fontId="14" fillId="0" borderId="0" xfId="1" applyFont="1" applyFill="1" applyBorder="1" applyAlignment="1">
      <alignment horizontal="center"/>
    </xf>
    <xf numFmtId="165" fontId="14" fillId="0" borderId="0" xfId="1" applyFont="1" applyFill="1" applyBorder="1" applyAlignment="1"/>
    <xf numFmtId="165" fontId="14" fillId="0" borderId="0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/>
    </xf>
    <xf numFmtId="165" fontId="12" fillId="0" borderId="7" xfId="1" applyFont="1" applyFill="1" applyBorder="1" applyAlignment="1">
      <alignment horizontal="center"/>
    </xf>
    <xf numFmtId="165" fontId="12" fillId="0" borderId="7" xfId="1" applyFont="1" applyFill="1" applyBorder="1" applyAlignment="1"/>
    <xf numFmtId="165" fontId="12" fillId="0" borderId="7" xfId="1" applyFont="1" applyFill="1" applyBorder="1" applyAlignment="1">
      <alignment horizontal="center" vertical="center"/>
    </xf>
    <xf numFmtId="165" fontId="5" fillId="0" borderId="0" xfId="1" applyFont="1"/>
    <xf numFmtId="165" fontId="12" fillId="0" borderId="0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165" fontId="13" fillId="0" borderId="0" xfId="1" applyFont="1" applyFill="1"/>
    <xf numFmtId="0" fontId="19" fillId="0" borderId="0" xfId="0" applyFont="1" applyAlignment="1">
      <alignment horizontal="center" vertical="center"/>
    </xf>
    <xf numFmtId="165" fontId="19" fillId="0" borderId="0" xfId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9" fillId="0" borderId="0" xfId="1" applyFont="1" applyFill="1" applyBorder="1" applyAlignment="1">
      <alignment horizontal="center" vertical="center"/>
    </xf>
    <xf numFmtId="165" fontId="12" fillId="0" borderId="0" xfId="1" applyFont="1" applyFill="1" applyAlignment="1">
      <alignment vertical="top" wrapText="1"/>
    </xf>
    <xf numFmtId="165" fontId="11" fillId="0" borderId="0" xfId="1" applyFont="1" applyFill="1"/>
    <xf numFmtId="10" fontId="11" fillId="0" borderId="0" xfId="10" applyNumberFormat="1" applyFont="1" applyFill="1" applyAlignment="1">
      <alignment horizontal="center"/>
    </xf>
    <xf numFmtId="0" fontId="12" fillId="0" borderId="7" xfId="0" applyFont="1" applyBorder="1" applyAlignment="1">
      <alignment vertical="top" wrapText="1"/>
    </xf>
    <xf numFmtId="165" fontId="12" fillId="0" borderId="7" xfId="1" applyFont="1" applyBorder="1" applyAlignment="1">
      <alignment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/>
    </xf>
    <xf numFmtId="0" fontId="21" fillId="11" borderId="27" xfId="0" applyFont="1" applyFill="1" applyBorder="1" applyAlignment="1">
      <alignment horizontal="center" vertical="center" wrapText="1"/>
    </xf>
    <xf numFmtId="165" fontId="21" fillId="11" borderId="27" xfId="1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 wrapText="1"/>
    </xf>
    <xf numFmtId="165" fontId="12" fillId="11" borderId="5" xfId="1" applyFont="1" applyFill="1" applyBorder="1" applyAlignment="1">
      <alignment horizontal="center" vertical="center" wrapText="1"/>
    </xf>
    <xf numFmtId="165" fontId="21" fillId="11" borderId="5" xfId="1" applyFont="1" applyFill="1" applyBorder="1" applyAlignment="1">
      <alignment horizontal="center" vertical="center" wrapText="1"/>
    </xf>
    <xf numFmtId="165" fontId="12" fillId="8" borderId="14" xfId="0" applyNumberFormat="1" applyFont="1" applyFill="1" applyBorder="1" applyAlignment="1">
      <alignment horizontal="center" vertical="center" wrapText="1"/>
    </xf>
    <xf numFmtId="165" fontId="12" fillId="8" borderId="5" xfId="0" applyNumberFormat="1" applyFont="1" applyFill="1" applyBorder="1" applyAlignment="1">
      <alignment horizontal="center" vertical="center" wrapText="1"/>
    </xf>
    <xf numFmtId="165" fontId="21" fillId="11" borderId="23" xfId="1" applyFont="1" applyFill="1" applyBorder="1" applyAlignment="1">
      <alignment horizontal="center" vertical="center" wrapText="1"/>
    </xf>
    <xf numFmtId="165" fontId="14" fillId="0" borderId="4" xfId="1" applyFont="1" applyFill="1" applyBorder="1" applyAlignment="1"/>
    <xf numFmtId="0" fontId="14" fillId="8" borderId="14" xfId="0" applyFont="1" applyFill="1" applyBorder="1" applyAlignment="1">
      <alignment horizontal="center" vertical="center" wrapText="1"/>
    </xf>
    <xf numFmtId="0" fontId="21" fillId="11" borderId="3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" fillId="0" borderId="0" xfId="5" applyFont="1"/>
    <xf numFmtId="44" fontId="2" fillId="0" borderId="0" xfId="5" applyNumberFormat="1"/>
    <xf numFmtId="0" fontId="13" fillId="0" borderId="0" xfId="0" quotePrefix="1" applyFont="1"/>
    <xf numFmtId="0" fontId="14" fillId="0" borderId="5" xfId="0" applyFont="1" applyBorder="1" applyAlignment="1">
      <alignment horizontal="center" vertical="center" wrapText="1"/>
    </xf>
    <xf numFmtId="165" fontId="14" fillId="0" borderId="5" xfId="1" applyFont="1" applyFill="1" applyBorder="1" applyAlignment="1">
      <alignment horizontal="center"/>
    </xf>
    <xf numFmtId="165" fontId="14" fillId="0" borderId="5" xfId="1" applyFont="1" applyFill="1" applyBorder="1" applyAlignment="1"/>
    <xf numFmtId="165" fontId="14" fillId="0" borderId="5" xfId="1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 wrapText="1"/>
    </xf>
    <xf numFmtId="44" fontId="3" fillId="0" borderId="7" xfId="8" applyFont="1" applyBorder="1" applyAlignment="1">
      <alignment vertical="center"/>
    </xf>
    <xf numFmtId="165" fontId="14" fillId="0" borderId="7" xfId="1" quotePrefix="1" applyFont="1" applyBorder="1" applyAlignment="1">
      <alignment horizontal="center"/>
    </xf>
    <xf numFmtId="165" fontId="5" fillId="0" borderId="36" xfId="1" applyFont="1" applyBorder="1" applyAlignment="1">
      <alignment horizontal="center" vertical="center"/>
    </xf>
    <xf numFmtId="165" fontId="5" fillId="9" borderId="0" xfId="1" applyFont="1" applyFill="1" applyBorder="1" applyAlignment="1">
      <alignment horizontal="center" vertical="center"/>
    </xf>
    <xf numFmtId="168" fontId="13" fillId="0" borderId="0" xfId="1" applyNumberFormat="1" applyFont="1" applyAlignment="1"/>
    <xf numFmtId="168" fontId="13" fillId="0" borderId="0" xfId="0" applyNumberFormat="1" applyFont="1"/>
    <xf numFmtId="0" fontId="12" fillId="8" borderId="7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/>
    </xf>
    <xf numFmtId="165" fontId="12" fillId="8" borderId="5" xfId="1" applyFont="1" applyFill="1" applyBorder="1" applyAlignment="1">
      <alignment horizontal="center"/>
    </xf>
    <xf numFmtId="165" fontId="12" fillId="12" borderId="5" xfId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Font="1" applyFill="1" applyAlignment="1">
      <alignment horizontal="center" vertical="center" wrapText="1"/>
    </xf>
    <xf numFmtId="165" fontId="21" fillId="11" borderId="7" xfId="1" applyFont="1" applyFill="1" applyBorder="1" applyAlignment="1">
      <alignment horizontal="center" vertical="center" wrapText="1"/>
    </xf>
    <xf numFmtId="165" fontId="21" fillId="0" borderId="0" xfId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vertical="top" wrapText="1"/>
    </xf>
    <xf numFmtId="165" fontId="12" fillId="14" borderId="7" xfId="1" applyFont="1" applyFill="1" applyBorder="1" applyAlignment="1">
      <alignment horizontal="center" vertical="center" wrapText="1"/>
    </xf>
    <xf numFmtId="1" fontId="14" fillId="0" borderId="5" xfId="0" quotePrefix="1" applyNumberFormat="1" applyFont="1" applyBorder="1" applyAlignment="1">
      <alignment horizontal="center"/>
    </xf>
    <xf numFmtId="0" fontId="24" fillId="0" borderId="0" xfId="0" applyFont="1"/>
    <xf numFmtId="0" fontId="12" fillId="7" borderId="22" xfId="0" applyFont="1" applyFill="1" applyBorder="1" applyAlignment="1">
      <alignment vertical="top" wrapText="1"/>
    </xf>
    <xf numFmtId="165" fontId="12" fillId="7" borderId="23" xfId="1" applyFont="1" applyFill="1" applyBorder="1" applyAlignment="1">
      <alignment vertical="top" wrapText="1"/>
    </xf>
    <xf numFmtId="165" fontId="11" fillId="7" borderId="1" xfId="1" applyFont="1" applyFill="1" applyBorder="1" applyAlignment="1">
      <alignment horizontal="center"/>
    </xf>
    <xf numFmtId="10" fontId="11" fillId="7" borderId="27" xfId="10" applyNumberFormat="1" applyFont="1" applyFill="1" applyBorder="1" applyAlignment="1">
      <alignment horizontal="center"/>
    </xf>
    <xf numFmtId="9" fontId="14" fillId="0" borderId="24" xfId="0" applyNumberFormat="1" applyFont="1" applyBorder="1" applyAlignment="1">
      <alignment horizontal="center" vertical="center"/>
    </xf>
    <xf numFmtId="44" fontId="14" fillId="0" borderId="25" xfId="0" applyNumberFormat="1" applyFont="1" applyBorder="1" applyAlignment="1">
      <alignment vertical="center"/>
    </xf>
    <xf numFmtId="165" fontId="14" fillId="0" borderId="5" xfId="1" applyFont="1" applyBorder="1" applyAlignment="1">
      <alignment horizontal="center"/>
    </xf>
    <xf numFmtId="165" fontId="25" fillId="0" borderId="0" xfId="1" applyFont="1" applyAlignment="1"/>
    <xf numFmtId="165" fontId="25" fillId="0" borderId="0" xfId="1" applyFont="1"/>
    <xf numFmtId="165" fontId="25" fillId="0" borderId="0" xfId="1" applyFont="1" applyFill="1"/>
    <xf numFmtId="165" fontId="18" fillId="0" borderId="0" xfId="1" applyFont="1"/>
    <xf numFmtId="0" fontId="18" fillId="0" borderId="0" xfId="0" applyFont="1"/>
    <xf numFmtId="0" fontId="26" fillId="0" borderId="0" xfId="0" applyFont="1"/>
    <xf numFmtId="164" fontId="26" fillId="0" borderId="0" xfId="0" applyNumberFormat="1" applyFont="1"/>
    <xf numFmtId="165" fontId="12" fillId="13" borderId="7" xfId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4" fillId="0" borderId="7" xfId="1" applyFont="1" applyFill="1" applyBorder="1" applyAlignment="1">
      <alignment horizontal="left" vertical="center"/>
    </xf>
    <xf numFmtId="0" fontId="14" fillId="0" borderId="7" xfId="1" applyNumberFormat="1" applyFont="1" applyFill="1" applyBorder="1" applyAlignment="1">
      <alignment horizontal="center" vertical="center"/>
    </xf>
    <xf numFmtId="165" fontId="23" fillId="0" borderId="0" xfId="1" applyFont="1" applyAlignment="1">
      <alignment vertical="center" wrapText="1"/>
    </xf>
    <xf numFmtId="168" fontId="12" fillId="8" borderId="37" xfId="0" applyNumberFormat="1" applyFont="1" applyFill="1" applyBorder="1" applyAlignment="1">
      <alignment horizontal="center" vertical="center" wrapText="1"/>
    </xf>
    <xf numFmtId="168" fontId="12" fillId="8" borderId="35" xfId="0" applyNumberFormat="1" applyFont="1" applyFill="1" applyBorder="1" applyAlignment="1">
      <alignment horizontal="center" vertical="center" wrapText="1"/>
    </xf>
    <xf numFmtId="168" fontId="12" fillId="8" borderId="25" xfId="0" applyNumberFormat="1" applyFont="1" applyFill="1" applyBorder="1" applyAlignment="1">
      <alignment horizontal="center" vertical="center" wrapText="1"/>
    </xf>
    <xf numFmtId="168" fontId="14" fillId="0" borderId="5" xfId="1" applyNumberFormat="1" applyFont="1" applyFill="1" applyBorder="1" applyAlignment="1">
      <alignment horizontal="center" vertical="center"/>
    </xf>
    <xf numFmtId="168" fontId="14" fillId="0" borderId="7" xfId="1" applyNumberFormat="1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3" fillId="0" borderId="7" xfId="0" applyNumberFormat="1" applyFont="1" applyBorder="1"/>
    <xf numFmtId="44" fontId="3" fillId="0" borderId="7" xfId="0" applyNumberFormat="1" applyFont="1" applyBorder="1"/>
    <xf numFmtId="0" fontId="27" fillId="8" borderId="7" xfId="0" applyFont="1" applyFill="1" applyBorder="1" applyAlignment="1">
      <alignment horizontal="center"/>
    </xf>
    <xf numFmtId="44" fontId="27" fillId="8" borderId="7" xfId="0" applyNumberFormat="1" applyFont="1" applyFill="1" applyBorder="1" applyAlignment="1">
      <alignment horizontal="center"/>
    </xf>
    <xf numFmtId="0" fontId="12" fillId="13" borderId="7" xfId="0" applyFont="1" applyFill="1" applyBorder="1" applyAlignment="1">
      <alignment horizontal="center" vertical="center"/>
    </xf>
    <xf numFmtId="165" fontId="5" fillId="9" borderId="3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5" fillId="9" borderId="36" xfId="0" applyNumberFormat="1" applyFont="1" applyFill="1" applyBorder="1" applyAlignment="1">
      <alignment horizontal="center" vertical="center"/>
    </xf>
    <xf numFmtId="165" fontId="0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13" fillId="0" borderId="0" xfId="1" applyFont="1" applyFill="1" applyAlignment="1">
      <alignment vertical="center"/>
    </xf>
    <xf numFmtId="165" fontId="5" fillId="0" borderId="0" xfId="1" applyFont="1" applyAlignment="1">
      <alignment vertical="center"/>
    </xf>
    <xf numFmtId="0" fontId="14" fillId="0" borderId="2" xfId="0" applyFont="1" applyBorder="1" applyAlignment="1">
      <alignment vertical="top" wrapText="1"/>
    </xf>
    <xf numFmtId="0" fontId="14" fillId="0" borderId="7" xfId="0" quotePrefix="1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7" xfId="0" applyBorder="1"/>
    <xf numFmtId="165" fontId="14" fillId="0" borderId="0" xfId="1" applyFont="1"/>
    <xf numFmtId="165" fontId="14" fillId="0" borderId="7" xfId="1" quotePrefix="1" applyFont="1" applyBorder="1" applyAlignment="1">
      <alignment horizontal="center" vertical="center"/>
    </xf>
    <xf numFmtId="165" fontId="14" fillId="0" borderId="7" xfId="1" applyFont="1" applyBorder="1" applyAlignment="1">
      <alignment vertical="center" wrapText="1"/>
    </xf>
    <xf numFmtId="0" fontId="18" fillId="0" borderId="7" xfId="1" applyNumberFormat="1" applyFont="1" applyBorder="1" applyAlignment="1">
      <alignment horizontal="center" vertical="center" wrapText="1"/>
    </xf>
    <xf numFmtId="165" fontId="14" fillId="0" borderId="0" xfId="0" applyNumberFormat="1" applyFont="1"/>
    <xf numFmtId="10" fontId="14" fillId="0" borderId="0" xfId="0" applyNumberFormat="1" applyFont="1"/>
    <xf numFmtId="165" fontId="14" fillId="0" borderId="22" xfId="1" applyFont="1" applyFill="1" applyBorder="1" applyAlignment="1">
      <alignment horizontal="center" vertical="center"/>
    </xf>
    <xf numFmtId="165" fontId="14" fillId="0" borderId="6" xfId="1" applyFont="1" applyFill="1" applyBorder="1" applyAlignment="1">
      <alignment horizontal="center" vertical="center"/>
    </xf>
    <xf numFmtId="165" fontId="14" fillId="0" borderId="23" xfId="1" applyFont="1" applyFill="1" applyBorder="1" applyAlignment="1">
      <alignment horizontal="center" vertical="center"/>
    </xf>
    <xf numFmtId="165" fontId="14" fillId="0" borderId="24" xfId="1" applyFont="1" applyFill="1" applyBorder="1" applyAlignment="1">
      <alignment horizontal="center" vertical="center"/>
    </xf>
    <xf numFmtId="165" fontId="14" fillId="0" borderId="25" xfId="1" applyFont="1" applyFill="1" applyBorder="1" applyAlignment="1">
      <alignment horizontal="center" vertical="center"/>
    </xf>
    <xf numFmtId="165" fontId="5" fillId="0" borderId="24" xfId="1" applyFont="1" applyBorder="1" applyAlignment="1">
      <alignment vertical="center"/>
    </xf>
    <xf numFmtId="165" fontId="13" fillId="0" borderId="0" xfId="1" applyFont="1" applyBorder="1" applyAlignment="1">
      <alignment vertical="center"/>
    </xf>
    <xf numFmtId="165" fontId="13" fillId="0" borderId="24" xfId="1" applyFont="1" applyBorder="1" applyAlignment="1">
      <alignment vertical="center"/>
    </xf>
    <xf numFmtId="165" fontId="13" fillId="0" borderId="25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165" fontId="5" fillId="0" borderId="26" xfId="1" applyFont="1" applyBorder="1" applyAlignment="1">
      <alignment vertical="center"/>
    </xf>
    <xf numFmtId="165" fontId="14" fillId="0" borderId="27" xfId="1" applyFont="1" applyFill="1" applyBorder="1" applyAlignment="1">
      <alignment horizontal="center" vertical="center"/>
    </xf>
    <xf numFmtId="165" fontId="14" fillId="0" borderId="2" xfId="1" applyFont="1" applyFill="1" applyBorder="1" applyAlignment="1">
      <alignment horizontal="center" vertical="center"/>
    </xf>
    <xf numFmtId="165" fontId="14" fillId="0" borderId="3" xfId="1" applyFont="1" applyFill="1" applyBorder="1" applyAlignment="1">
      <alignment horizontal="center" vertical="center"/>
    </xf>
    <xf numFmtId="168" fontId="14" fillId="0" borderId="7" xfId="1" applyNumberFormat="1" applyFont="1" applyBorder="1" applyAlignment="1">
      <alignment horizontal="center" vertical="center"/>
    </xf>
    <xf numFmtId="168" fontId="28" fillId="0" borderId="7" xfId="1" applyNumberFormat="1" applyFont="1" applyBorder="1" applyAlignment="1">
      <alignment horizontal="center" vertical="center"/>
    </xf>
    <xf numFmtId="168" fontId="28" fillId="0" borderId="7" xfId="1" applyNumberFormat="1" applyFont="1" applyFill="1" applyBorder="1" applyAlignment="1">
      <alignment horizontal="center" vertical="center"/>
    </xf>
    <xf numFmtId="165" fontId="13" fillId="0" borderId="0" xfId="1" applyFont="1" applyFill="1" applyAlignment="1">
      <alignment horizontal="center"/>
    </xf>
    <xf numFmtId="168" fontId="11" fillId="7" borderId="0" xfId="1" applyNumberFormat="1" applyFont="1" applyFill="1" applyAlignment="1">
      <alignment horizontal="center" vertical="center"/>
    </xf>
    <xf numFmtId="165" fontId="14" fillId="8" borderId="3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27" fillId="0" borderId="0" xfId="0" applyNumberFormat="1" applyFont="1"/>
    <xf numFmtId="165" fontId="27" fillId="0" borderId="0" xfId="1" applyFont="1"/>
    <xf numFmtId="0" fontId="12" fillId="0" borderId="7" xfId="0" applyFont="1" applyBorder="1" applyAlignment="1">
      <alignment horizontal="center" vertical="center" wrapText="1"/>
    </xf>
    <xf numFmtId="2" fontId="21" fillId="11" borderId="2" xfId="0" applyNumberFormat="1" applyFont="1" applyFill="1" applyBorder="1" applyAlignment="1">
      <alignment horizontal="center" vertical="center"/>
    </xf>
    <xf numFmtId="2" fontId="21" fillId="11" borderId="3" xfId="0" applyNumberFormat="1" applyFont="1" applyFill="1" applyBorder="1" applyAlignment="1">
      <alignment horizontal="center" vertical="center"/>
    </xf>
    <xf numFmtId="2" fontId="21" fillId="11" borderId="5" xfId="0" applyNumberFormat="1" applyFont="1" applyFill="1" applyBorder="1" applyAlignment="1">
      <alignment horizontal="center" vertical="center"/>
    </xf>
    <xf numFmtId="165" fontId="21" fillId="11" borderId="2" xfId="1" applyFont="1" applyFill="1" applyBorder="1" applyAlignment="1">
      <alignment horizontal="center" vertical="center"/>
    </xf>
    <xf numFmtId="165" fontId="21" fillId="11" borderId="5" xfId="1" applyFont="1" applyFill="1" applyBorder="1" applyAlignment="1">
      <alignment horizontal="center" vertical="center"/>
    </xf>
    <xf numFmtId="165" fontId="12" fillId="14" borderId="7" xfId="1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29" xfId="0" applyFont="1" applyFill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/>
    </xf>
    <xf numFmtId="0" fontId="21" fillId="11" borderId="27" xfId="0" applyFont="1" applyFill="1" applyBorder="1" applyAlignment="1">
      <alignment horizontal="center" vertical="center"/>
    </xf>
    <xf numFmtId="165" fontId="19" fillId="10" borderId="28" xfId="1" applyFont="1" applyFill="1" applyBorder="1" applyAlignment="1">
      <alignment horizontal="center" vertical="center"/>
    </xf>
    <xf numFmtId="165" fontId="19" fillId="10" borderId="10" xfId="1" applyFont="1" applyFill="1" applyBorder="1" applyAlignment="1">
      <alignment horizontal="center" vertical="center"/>
    </xf>
    <xf numFmtId="165" fontId="19" fillId="10" borderId="29" xfId="1" applyFont="1" applyFill="1" applyBorder="1" applyAlignment="1">
      <alignment horizontal="center" vertical="center"/>
    </xf>
    <xf numFmtId="0" fontId="19" fillId="10" borderId="32" xfId="0" applyFont="1" applyFill="1" applyBorder="1" applyAlignment="1">
      <alignment horizontal="center" vertical="center"/>
    </xf>
    <xf numFmtId="0" fontId="19" fillId="10" borderId="33" xfId="0" applyFont="1" applyFill="1" applyBorder="1" applyAlignment="1">
      <alignment horizontal="center" vertical="center"/>
    </xf>
    <xf numFmtId="168" fontId="12" fillId="11" borderId="7" xfId="0" applyNumberFormat="1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12" fillId="12" borderId="5" xfId="0" applyFont="1" applyFill="1" applyBorder="1" applyAlignment="1">
      <alignment horizontal="left" vertical="center" wrapText="1"/>
    </xf>
    <xf numFmtId="165" fontId="23" fillId="0" borderId="0" xfId="1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3" fillId="0" borderId="15" xfId="5" applyFont="1" applyBorder="1" applyAlignment="1">
      <alignment horizontal="left"/>
    </xf>
    <xf numFmtId="0" fontId="14" fillId="0" borderId="20" xfId="5" applyFont="1" applyBorder="1"/>
    <xf numFmtId="0" fontId="14" fillId="0" borderId="17" xfId="5" applyFont="1" applyBorder="1"/>
    <xf numFmtId="0" fontId="11" fillId="0" borderId="15" xfId="5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4" borderId="15" xfId="5" applyFont="1" applyFill="1" applyBorder="1" applyAlignment="1">
      <alignment horizontal="center"/>
    </xf>
    <xf numFmtId="0" fontId="13" fillId="5" borderId="15" xfId="5" applyFont="1" applyFill="1" applyBorder="1" applyAlignment="1">
      <alignment horizontal="left"/>
    </xf>
    <xf numFmtId="0" fontId="13" fillId="0" borderId="15" xfId="5" applyFont="1" applyBorder="1"/>
    <xf numFmtId="0" fontId="13" fillId="0" borderId="20" xfId="5" applyFont="1" applyBorder="1" applyAlignment="1">
      <alignment horizontal="left"/>
    </xf>
    <xf numFmtId="0" fontId="13" fillId="0" borderId="16" xfId="5" applyFont="1" applyBorder="1"/>
    <xf numFmtId="0" fontId="14" fillId="0" borderId="16" xfId="5" applyFont="1" applyBorder="1"/>
    <xf numFmtId="0" fontId="14" fillId="0" borderId="19" xfId="5" applyFont="1" applyBorder="1"/>
    <xf numFmtId="0" fontId="13" fillId="0" borderId="0" xfId="5" applyFont="1"/>
    <xf numFmtId="0" fontId="11" fillId="6" borderId="15" xfId="5" applyFont="1" applyFill="1" applyBorder="1" applyAlignment="1">
      <alignment horizontal="center"/>
    </xf>
    <xf numFmtId="0" fontId="14" fillId="0" borderId="20" xfId="5" applyFont="1" applyBorder="1" applyAlignment="1">
      <alignment horizontal="left"/>
    </xf>
    <xf numFmtId="0" fontId="14" fillId="0" borderId="17" xfId="5" applyFont="1" applyBorder="1" applyAlignment="1">
      <alignment horizontal="left"/>
    </xf>
    <xf numFmtId="0" fontId="13" fillId="5" borderId="15" xfId="5" applyFont="1" applyFill="1" applyBorder="1"/>
    <xf numFmtId="0" fontId="17" fillId="0" borderId="6" xfId="5" applyFont="1" applyBorder="1" applyAlignment="1">
      <alignment horizontal="left"/>
    </xf>
    <xf numFmtId="0" fontId="17" fillId="0" borderId="0" xfId="5" applyFont="1" applyAlignment="1">
      <alignment horizontal="left"/>
    </xf>
    <xf numFmtId="0" fontId="11" fillId="0" borderId="15" xfId="5" applyFont="1" applyBorder="1" applyAlignment="1">
      <alignment horizontal="left"/>
    </xf>
    <xf numFmtId="0" fontId="17" fillId="0" borderId="26" xfId="5" applyFont="1" applyBorder="1" applyAlignment="1">
      <alignment horizontal="left"/>
    </xf>
    <xf numFmtId="0" fontId="10" fillId="0" borderId="0" xfId="4" applyFont="1" applyAlignment="1">
      <alignment horizontal="center"/>
    </xf>
    <xf numFmtId="0" fontId="2" fillId="0" borderId="0" xfId="5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11">
    <cellStyle name="Moeda" xfId="1" builtinId="4"/>
    <cellStyle name="Moeda 2" xfId="8" xr:uid="{118093AD-D57D-43DD-BB3B-62E7FB82F656}"/>
    <cellStyle name="Moeda 2 4" xfId="7" xr:uid="{5D132DA9-A712-431E-9BD7-286D383960D5}"/>
    <cellStyle name="Normal" xfId="0" builtinId="0"/>
    <cellStyle name="Normal 2" xfId="2" xr:uid="{00000000-0005-0000-0000-000002000000}"/>
    <cellStyle name="Normal 3 2" xfId="5" xr:uid="{DF18345F-CE1A-4BAF-B14C-E43D331A070C}"/>
    <cellStyle name="Normal 4" xfId="4" xr:uid="{66B0519F-0EAC-4EF3-B780-6193A69AD68C}"/>
    <cellStyle name="Porcentagem" xfId="10" builtinId="5"/>
    <cellStyle name="Porcentagem 2" xfId="6" xr:uid="{9D124433-8FFA-406E-BE0C-4610414882DE}"/>
    <cellStyle name="Vírgula" xfId="3" builtinId="3"/>
    <cellStyle name="Vírgula 2 2" xfId="9" xr:uid="{A9D2327E-AF20-42AD-9E8D-68679CA95715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R$&quot;* #,##0.00_);_(&quot;R$&quot;* \(#,##0.00\);_(&quot;R$&quot;* &quot;-&quot;??_);_(@_)"/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R$&quot;* #,##0.00_);_(&quot;R$&quot;* \(#,##0.00\);_(&quot;R$&quot;* &quot;-&quot;??_);_(@_)"/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colors>
    <mruColors>
      <color rgb="FF5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3962400</xdr:colOff>
      <xdr:row>1</xdr:row>
      <xdr:rowOff>47625</xdr:rowOff>
    </xdr:from>
    <xdr:to>
      <xdr:col>4</xdr:col>
      <xdr:colOff>535305</xdr:colOff>
      <xdr:row>1</xdr:row>
      <xdr:rowOff>876300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191422B-E36D-4B99-B089-295CE0DE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09550"/>
          <a:ext cx="253555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640080</xdr:colOff>
      <xdr:row>1</xdr:row>
      <xdr:rowOff>114300</xdr:rowOff>
    </xdr:from>
    <xdr:to>
      <xdr:col>15</xdr:col>
      <xdr:colOff>520066</xdr:colOff>
      <xdr:row>1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EC0C31-96E5-4675-9720-A46490DF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8060" y="289560"/>
          <a:ext cx="270700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1090179</xdr:colOff>
      <xdr:row>0</xdr:row>
      <xdr:rowOff>0</xdr:rowOff>
    </xdr:from>
    <xdr:to>
      <xdr:col>5</xdr:col>
      <xdr:colOff>321945</xdr:colOff>
      <xdr:row>5</xdr:row>
      <xdr:rowOff>28575</xdr:rowOff>
    </xdr:to>
    <xdr:pic>
      <xdr:nvPicPr>
        <xdr:cNvPr id="31053" name="Imagem 1">
          <a:extLst>
            <a:ext uri="{FF2B5EF4-FFF2-40B4-BE49-F238E27FC236}">
              <a16:creationId xmlns:a16="http://schemas.microsoft.com/office/drawing/2014/main" id="{A491DD4F-FEA7-0D5F-B753-F4F39E61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404" y="0"/>
          <a:ext cx="2214996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720871-FD5F-42C2-B411-C1D32AFE1C75}" name="Tabela5" displayName="Tabela5" ref="B9:E19" totalsRowCount="1" headerRowDxfId="9" dataDxfId="8" tableBorderDxfId="7">
  <autoFilter ref="B9:E18" xr:uid="{E7720871-FD5F-42C2-B411-C1D32AFE1C75}"/>
  <tableColumns count="4">
    <tableColumn id="1" xr3:uid="{CDFC61A3-A4E7-4CF4-87BF-2B6AE16690BD}" name="Função" dataDxfId="6">
      <calculatedColumnFormula>#REF!</calculatedColumnFormula>
    </tableColumn>
    <tableColumn id="2" xr3:uid="{E642D2DF-9AD6-4E72-B8D7-66B7A7D8612C}" name="Qnt." totalsRowFunction="custom" dataDxfId="5" totalsRowDxfId="4">
      <calculatedColumnFormula>#REF!</calculatedColumnFormula>
      <totalsRowFormula>SUM(Tabela5[Qnt.])</totalsRowFormula>
    </tableColumn>
    <tableColumn id="3" xr3:uid="{05F1B31C-AD32-43EF-B5F6-83518E17FB6E}" name="Salário base" dataDxfId="3" totalsRowDxfId="2"/>
    <tableColumn id="5" xr3:uid="{ECF4CDB5-D926-4B29-9F9D-1D8A27C64501}" name="Carga Horária semanal" dataDxfId="1" totalsRowDxfId="0" totalsRowCellStyle="Moed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27BD-62CE-4ED2-BD98-17278979AFE6}">
  <sheetPr>
    <pageSetUpPr fitToPage="1"/>
  </sheetPr>
  <dimension ref="A2:U94"/>
  <sheetViews>
    <sheetView tabSelected="1" topLeftCell="C27" zoomScale="90" zoomScaleNormal="90" workbookViewId="0">
      <selection activeCell="J22" sqref="J22"/>
    </sheetView>
  </sheetViews>
  <sheetFormatPr defaultColWidth="11.42578125" defaultRowHeight="12.75" x14ac:dyDescent="0.2"/>
  <cols>
    <col min="1" max="1" width="6" style="2" customWidth="1"/>
    <col min="2" max="2" width="62.5703125" style="22" customWidth="1"/>
    <col min="3" max="3" width="15.28515625" style="22" bestFit="1" customWidth="1"/>
    <col min="4" max="4" width="11.5703125" style="22" customWidth="1"/>
    <col min="5" max="5" width="10.7109375" style="22" bestFit="1" customWidth="1"/>
    <col min="6" max="6" width="13.5703125" style="22" bestFit="1" customWidth="1"/>
    <col min="7" max="7" width="14.5703125" style="22" bestFit="1" customWidth="1"/>
    <col min="8" max="8" width="14.7109375" style="25" bestFit="1" customWidth="1"/>
    <col min="9" max="9" width="15.140625" style="26" customWidth="1"/>
    <col min="10" max="10" width="16" style="25" bestFit="1" customWidth="1"/>
    <col min="11" max="11" width="7.42578125" style="134" customWidth="1"/>
    <col min="12" max="12" width="35.85546875" style="134" bestFit="1" customWidth="1"/>
    <col min="13" max="13" width="12.7109375" style="134" bestFit="1" customWidth="1"/>
    <col min="14" max="14" width="14.5703125" style="134" bestFit="1" customWidth="1"/>
    <col min="15" max="15" width="14" style="134" bestFit="1" customWidth="1"/>
    <col min="16" max="16" width="16" style="134" bestFit="1" customWidth="1"/>
    <col min="17" max="17" width="14.140625" style="134" customWidth="1"/>
    <col min="18" max="18" width="13.140625" style="134" customWidth="1"/>
    <col min="19" max="19" width="14.42578125" style="2" customWidth="1"/>
    <col min="20" max="20" width="14.7109375" style="2" customWidth="1"/>
    <col min="21" max="21" width="15.28515625" style="2" bestFit="1" customWidth="1"/>
    <col min="22" max="22" width="16" style="2" bestFit="1" customWidth="1"/>
    <col min="23" max="24" width="11.42578125" style="2" customWidth="1"/>
    <col min="25" max="25" width="15.42578125" style="2" bestFit="1" customWidth="1"/>
    <col min="26" max="26" width="13.42578125" style="2" bestFit="1" customWidth="1"/>
    <col min="27" max="27" width="9.28515625" style="2" customWidth="1"/>
    <col min="28" max="28" width="18.7109375" style="2" customWidth="1"/>
    <col min="29" max="29" width="11.85546875" style="2" customWidth="1"/>
    <col min="30" max="30" width="13.7109375" style="2" customWidth="1"/>
    <col min="31" max="31" width="10.42578125" style="2" customWidth="1"/>
    <col min="32" max="16384" width="11.42578125" style="2"/>
  </cols>
  <sheetData>
    <row r="2" spans="1:20" ht="76.5" customHeight="1" thickBot="1" x14ac:dyDescent="0.25"/>
    <row r="3" spans="1:20" ht="32.25" customHeight="1" x14ac:dyDescent="0.2">
      <c r="B3" s="285" t="s">
        <v>229</v>
      </c>
      <c r="C3" s="272"/>
      <c r="D3" s="272"/>
      <c r="E3" s="272"/>
      <c r="F3" s="272"/>
      <c r="G3" s="272"/>
      <c r="H3" s="272"/>
      <c r="I3" s="272"/>
      <c r="J3" s="273"/>
      <c r="K3" s="135"/>
      <c r="L3" s="291" t="s">
        <v>0</v>
      </c>
      <c r="M3" s="291"/>
      <c r="N3" s="291"/>
      <c r="O3" s="291"/>
      <c r="P3" s="291"/>
      <c r="Q3" s="291"/>
      <c r="R3" s="291"/>
      <c r="S3" s="291"/>
    </row>
    <row r="4" spans="1:20" ht="47.25" customHeight="1" x14ac:dyDescent="0.2">
      <c r="B4" s="152" t="s">
        <v>1</v>
      </c>
      <c r="C4" s="162" t="s">
        <v>2</v>
      </c>
      <c r="D4" s="153" t="s">
        <v>3</v>
      </c>
      <c r="E4" s="154" t="s">
        <v>4</v>
      </c>
      <c r="F4" s="154" t="s">
        <v>5</v>
      </c>
      <c r="G4" s="154"/>
      <c r="H4" s="155" t="s">
        <v>6</v>
      </c>
      <c r="I4" s="159" t="s">
        <v>7</v>
      </c>
      <c r="J4" s="156" t="s">
        <v>8</v>
      </c>
      <c r="K4" s="136"/>
      <c r="L4" s="206" t="s">
        <v>169</v>
      </c>
      <c r="M4" s="206" t="s">
        <v>170</v>
      </c>
      <c r="N4" s="206" t="s">
        <v>9</v>
      </c>
      <c r="O4" s="206" t="s">
        <v>10</v>
      </c>
      <c r="P4" s="206" t="s">
        <v>11</v>
      </c>
      <c r="Q4" s="206" t="s">
        <v>12</v>
      </c>
      <c r="R4" s="206" t="s">
        <v>13</v>
      </c>
      <c r="S4" s="206" t="s">
        <v>14</v>
      </c>
      <c r="T4" s="3"/>
    </row>
    <row r="5" spans="1:20" x14ac:dyDescent="0.2">
      <c r="B5" s="96" t="s">
        <v>15</v>
      </c>
      <c r="C5" s="161">
        <f>SUM(C6:C14)</f>
        <v>43</v>
      </c>
      <c r="D5" s="97"/>
      <c r="E5" s="97"/>
      <c r="F5" s="259">
        <f>SUM(F6:F14)</f>
        <v>39713.97</v>
      </c>
      <c r="G5" s="259">
        <f>SUM(G6:G14)</f>
        <v>3773036.4</v>
      </c>
      <c r="H5" s="97"/>
      <c r="I5" s="157">
        <f>SUM(I6:I14)</f>
        <v>219647.93952500002</v>
      </c>
      <c r="J5" s="158">
        <f>SUM(J6:J14)</f>
        <v>5271550.5485999994</v>
      </c>
      <c r="K5" s="137"/>
      <c r="L5" s="207"/>
      <c r="M5" s="216">
        <f t="shared" ref="M5:S5" si="0">SUM(M6:M14)</f>
        <v>43</v>
      </c>
      <c r="N5" s="211">
        <f t="shared" si="0"/>
        <v>5326.2000000000007</v>
      </c>
      <c r="O5" s="212">
        <f t="shared" si="0"/>
        <v>25447.4</v>
      </c>
      <c r="P5" s="213">
        <f t="shared" si="0"/>
        <v>610737.6</v>
      </c>
      <c r="Q5" s="212">
        <f t="shared" si="0"/>
        <v>80.561799999999991</v>
      </c>
      <c r="R5" s="212">
        <f t="shared" si="0"/>
        <v>402.80899999999997</v>
      </c>
      <c r="S5" s="213">
        <f t="shared" si="0"/>
        <v>9667.4159999999993</v>
      </c>
    </row>
    <row r="6" spans="1:20" x14ac:dyDescent="0.2">
      <c r="A6" s="2">
        <v>1</v>
      </c>
      <c r="B6" s="28" t="str">
        <f>Salários!B10</f>
        <v>Coordenador Geral</v>
      </c>
      <c r="C6" s="163">
        <f>Salários!C10</f>
        <v>1</v>
      </c>
      <c r="D6" s="27" t="s">
        <v>16</v>
      </c>
      <c r="E6" s="29">
        <v>24</v>
      </c>
      <c r="F6" s="173">
        <f>Salários!D10</f>
        <v>6200</v>
      </c>
      <c r="G6" s="173">
        <f>F6*C6*E6</f>
        <v>148800</v>
      </c>
      <c r="H6" s="30">
        <f>'01. Coord adm'!I109</f>
        <v>8724.7995250000004</v>
      </c>
      <c r="I6" s="160">
        <f t="shared" ref="I6:I14" si="1">H6*C6</f>
        <v>8724.7995250000004</v>
      </c>
      <c r="J6" s="95">
        <f t="shared" ref="J6:J14" si="2">E6*I6</f>
        <v>209395.18859999999</v>
      </c>
      <c r="K6" s="125"/>
      <c r="L6" s="208" t="str">
        <f>B6</f>
        <v>Coordenador Geral</v>
      </c>
      <c r="M6" s="209">
        <f>C6</f>
        <v>1</v>
      </c>
      <c r="N6" s="214">
        <f>(26.9*22)</f>
        <v>591.79999999999995</v>
      </c>
      <c r="O6" s="215">
        <f>N6*C6</f>
        <v>591.79999999999995</v>
      </c>
      <c r="P6" s="215">
        <f>O6*E6</f>
        <v>14203.199999999999</v>
      </c>
      <c r="Q6" s="215">
        <v>0</v>
      </c>
      <c r="R6" s="215">
        <f t="shared" ref="R6:R14" si="3">Q6*C6</f>
        <v>0</v>
      </c>
      <c r="S6" s="215">
        <f>R6*E6</f>
        <v>0</v>
      </c>
    </row>
    <row r="7" spans="1:20" x14ac:dyDescent="0.2">
      <c r="A7" s="2">
        <v>2</v>
      </c>
      <c r="B7" s="28" t="str">
        <f>Salários!B11</f>
        <v>Coordenador de Eventos</v>
      </c>
      <c r="C7" s="163">
        <f>Salários!C11</f>
        <v>1</v>
      </c>
      <c r="D7" s="27" t="s">
        <v>16</v>
      </c>
      <c r="E7" s="29">
        <v>24</v>
      </c>
      <c r="F7" s="173">
        <f>Salários!D11</f>
        <v>5400</v>
      </c>
      <c r="G7" s="173">
        <f t="shared" ref="G7:G14" si="4">F7*C7*E7</f>
        <v>129600</v>
      </c>
      <c r="H7" s="30">
        <f>'02. Coord evento'!I109</f>
        <v>7542.46</v>
      </c>
      <c r="I7" s="31">
        <f t="shared" si="1"/>
        <v>7542.46</v>
      </c>
      <c r="J7" s="32">
        <f t="shared" si="2"/>
        <v>181019.04</v>
      </c>
      <c r="K7" s="125"/>
      <c r="L7" s="208" t="str">
        <f t="shared" ref="L7:L14" si="5">B7</f>
        <v>Coordenador de Eventos</v>
      </c>
      <c r="M7" s="209">
        <f t="shared" ref="M7:M14" si="6">C7</f>
        <v>1</v>
      </c>
      <c r="N7" s="214">
        <f t="shared" ref="N7:N14" si="7">(26.9*22)</f>
        <v>591.79999999999995</v>
      </c>
      <c r="O7" s="215">
        <f t="shared" ref="O7:O14" si="8">N7*C7</f>
        <v>591.79999999999995</v>
      </c>
      <c r="P7" s="215">
        <f t="shared" ref="P7:P13" si="9">O7*E7</f>
        <v>14203.199999999999</v>
      </c>
      <c r="Q7" s="215">
        <v>0</v>
      </c>
      <c r="R7" s="215">
        <f t="shared" si="3"/>
        <v>0</v>
      </c>
      <c r="S7" s="215">
        <f t="shared" ref="S7:S14" si="10">R7*E7</f>
        <v>0</v>
      </c>
    </row>
    <row r="8" spans="1:20" x14ac:dyDescent="0.2">
      <c r="A8" s="2">
        <v>3</v>
      </c>
      <c r="B8" s="28" t="str">
        <f>Salários!B12</f>
        <v>Coordenador Administrativo-Financeiro</v>
      </c>
      <c r="C8" s="163">
        <f>Salários!C12</f>
        <v>1</v>
      </c>
      <c r="D8" s="27" t="s">
        <v>16</v>
      </c>
      <c r="E8" s="29">
        <v>24</v>
      </c>
      <c r="F8" s="173">
        <f>Salários!D12</f>
        <v>5400</v>
      </c>
      <c r="G8" s="173">
        <f t="shared" si="4"/>
        <v>129600</v>
      </c>
      <c r="H8" s="30">
        <f>'03. Coord adm'!I109</f>
        <v>7542.46</v>
      </c>
      <c r="I8" s="31">
        <f t="shared" si="1"/>
        <v>7542.46</v>
      </c>
      <c r="J8" s="32">
        <f t="shared" si="2"/>
        <v>181019.04</v>
      </c>
      <c r="K8" s="125"/>
      <c r="L8" s="208" t="str">
        <f t="shared" si="5"/>
        <v>Coordenador Administrativo-Financeiro</v>
      </c>
      <c r="M8" s="209">
        <f t="shared" si="6"/>
        <v>1</v>
      </c>
      <c r="N8" s="214">
        <f t="shared" si="7"/>
        <v>591.79999999999995</v>
      </c>
      <c r="O8" s="215">
        <f t="shared" si="8"/>
        <v>591.79999999999995</v>
      </c>
      <c r="P8" s="215">
        <f t="shared" si="9"/>
        <v>14203.199999999999</v>
      </c>
      <c r="Q8" s="215">
        <v>0</v>
      </c>
      <c r="R8" s="215">
        <f t="shared" si="3"/>
        <v>0</v>
      </c>
      <c r="S8" s="215">
        <f t="shared" si="10"/>
        <v>0</v>
      </c>
    </row>
    <row r="9" spans="1:20" x14ac:dyDescent="0.2">
      <c r="A9" s="2">
        <v>4</v>
      </c>
      <c r="B9" s="28" t="str">
        <f>Salários!B13</f>
        <v>Auxiliar Administrativo</v>
      </c>
      <c r="C9" s="163">
        <f>Salários!C13</f>
        <v>5</v>
      </c>
      <c r="D9" s="27" t="s">
        <v>16</v>
      </c>
      <c r="E9" s="29">
        <v>24</v>
      </c>
      <c r="F9" s="173">
        <f>Salários!D13</f>
        <v>1993.97</v>
      </c>
      <c r="G9" s="173">
        <f t="shared" si="4"/>
        <v>239276.40000000002</v>
      </c>
      <c r="H9" s="30">
        <f>'04. Aux adm'!I109</f>
        <v>2785.09</v>
      </c>
      <c r="I9" s="31">
        <f t="shared" si="1"/>
        <v>13925.45</v>
      </c>
      <c r="J9" s="32">
        <f t="shared" si="2"/>
        <v>334210.80000000005</v>
      </c>
      <c r="K9" s="125"/>
      <c r="L9" s="208" t="str">
        <f t="shared" si="5"/>
        <v>Auxiliar Administrativo</v>
      </c>
      <c r="M9" s="209">
        <f t="shared" si="6"/>
        <v>5</v>
      </c>
      <c r="N9" s="214">
        <f t="shared" si="7"/>
        <v>591.79999999999995</v>
      </c>
      <c r="O9" s="215">
        <f>N9*C9</f>
        <v>2959</v>
      </c>
      <c r="P9" s="215">
        <f t="shared" si="9"/>
        <v>71016</v>
      </c>
      <c r="Q9" s="215">
        <f>(4.55*2*22)-(6%*F9)</f>
        <v>80.561799999999991</v>
      </c>
      <c r="R9" s="215">
        <f t="shared" si="3"/>
        <v>402.80899999999997</v>
      </c>
      <c r="S9" s="215">
        <f t="shared" si="10"/>
        <v>9667.4159999999993</v>
      </c>
    </row>
    <row r="10" spans="1:20" x14ac:dyDescent="0.2">
      <c r="A10" s="2">
        <v>5</v>
      </c>
      <c r="B10" s="28" t="str">
        <f>Salários!B14</f>
        <v>Supervisor de materiais</v>
      </c>
      <c r="C10" s="163">
        <f>Salários!C14</f>
        <v>1</v>
      </c>
      <c r="D10" s="27" t="s">
        <v>16</v>
      </c>
      <c r="E10" s="29">
        <v>24</v>
      </c>
      <c r="F10" s="173">
        <f>Salários!D14</f>
        <v>3980</v>
      </c>
      <c r="G10" s="173">
        <f t="shared" si="4"/>
        <v>95520</v>
      </c>
      <c r="H10" s="30">
        <f>'05. sup mat'!I109</f>
        <v>5559.0800000000008</v>
      </c>
      <c r="I10" s="31">
        <f t="shared" si="1"/>
        <v>5559.0800000000008</v>
      </c>
      <c r="J10" s="32">
        <f t="shared" si="2"/>
        <v>133417.92000000001</v>
      </c>
      <c r="K10" s="125"/>
      <c r="L10" s="208" t="str">
        <f t="shared" si="5"/>
        <v>Supervisor de materiais</v>
      </c>
      <c r="M10" s="209">
        <f t="shared" si="6"/>
        <v>1</v>
      </c>
      <c r="N10" s="214">
        <f t="shared" si="7"/>
        <v>591.79999999999995</v>
      </c>
      <c r="O10" s="215">
        <f t="shared" si="8"/>
        <v>591.79999999999995</v>
      </c>
      <c r="P10" s="215">
        <f t="shared" si="9"/>
        <v>14203.199999999999</v>
      </c>
      <c r="Q10" s="215">
        <v>0</v>
      </c>
      <c r="R10" s="215">
        <f t="shared" si="3"/>
        <v>0</v>
      </c>
      <c r="S10" s="215">
        <f t="shared" si="10"/>
        <v>0</v>
      </c>
    </row>
    <row r="11" spans="1:20" s="4" customFormat="1" x14ac:dyDescent="0.2">
      <c r="A11" s="2">
        <v>6</v>
      </c>
      <c r="B11" s="28" t="str">
        <f>Salários!B15</f>
        <v>Coordenador Esportivo</v>
      </c>
      <c r="C11" s="163">
        <f>Salários!C15</f>
        <v>1</v>
      </c>
      <c r="D11" s="27" t="s">
        <v>16</v>
      </c>
      <c r="E11" s="29">
        <v>24</v>
      </c>
      <c r="F11" s="173">
        <f>Salários!D15</f>
        <v>5400</v>
      </c>
      <c r="G11" s="173">
        <f t="shared" si="4"/>
        <v>129600</v>
      </c>
      <c r="H11" s="30">
        <f>'06. coord esp'!I109</f>
        <v>7542.46</v>
      </c>
      <c r="I11" s="31">
        <f t="shared" si="1"/>
        <v>7542.46</v>
      </c>
      <c r="J11" s="32">
        <f t="shared" si="2"/>
        <v>181019.04</v>
      </c>
      <c r="K11" s="125"/>
      <c r="L11" s="208" t="str">
        <f t="shared" si="5"/>
        <v>Coordenador Esportivo</v>
      </c>
      <c r="M11" s="209">
        <f t="shared" si="6"/>
        <v>1</v>
      </c>
      <c r="N11" s="214">
        <f t="shared" si="7"/>
        <v>591.79999999999995</v>
      </c>
      <c r="O11" s="215">
        <f t="shared" si="8"/>
        <v>591.79999999999995</v>
      </c>
      <c r="P11" s="215">
        <f t="shared" si="9"/>
        <v>14203.199999999999</v>
      </c>
      <c r="Q11" s="215">
        <v>0</v>
      </c>
      <c r="R11" s="215">
        <f t="shared" si="3"/>
        <v>0</v>
      </c>
      <c r="S11" s="215">
        <f t="shared" si="10"/>
        <v>0</v>
      </c>
    </row>
    <row r="12" spans="1:20" s="4" customFormat="1" x14ac:dyDescent="0.2">
      <c r="A12" s="2">
        <v>7</v>
      </c>
      <c r="B12" s="28" t="str">
        <f>Salários!B16</f>
        <v>Assistente de Modalidade</v>
      </c>
      <c r="C12" s="163">
        <f>Salários!C16</f>
        <v>18</v>
      </c>
      <c r="D12" s="27" t="s">
        <v>16</v>
      </c>
      <c r="E12" s="29">
        <v>24</v>
      </c>
      <c r="F12" s="173">
        <f>Salários!D16</f>
        <v>3320</v>
      </c>
      <c r="G12" s="173">
        <f t="shared" si="4"/>
        <v>1434240</v>
      </c>
      <c r="H12" s="30">
        <f>'07. ass modal'!I109</f>
        <v>4637.21</v>
      </c>
      <c r="I12" s="31">
        <f t="shared" si="1"/>
        <v>83469.78</v>
      </c>
      <c r="J12" s="32">
        <f t="shared" si="2"/>
        <v>2003274.72</v>
      </c>
      <c r="K12" s="125"/>
      <c r="L12" s="208" t="str">
        <f t="shared" si="5"/>
        <v>Assistente de Modalidade</v>
      </c>
      <c r="M12" s="209">
        <f t="shared" si="6"/>
        <v>18</v>
      </c>
      <c r="N12" s="214">
        <f t="shared" si="7"/>
        <v>591.79999999999995</v>
      </c>
      <c r="O12" s="215">
        <f t="shared" si="8"/>
        <v>10652.4</v>
      </c>
      <c r="P12" s="215">
        <f t="shared" si="9"/>
        <v>255657.59999999998</v>
      </c>
      <c r="Q12" s="215">
        <v>0</v>
      </c>
      <c r="R12" s="215">
        <f t="shared" si="3"/>
        <v>0</v>
      </c>
      <c r="S12" s="215">
        <f t="shared" si="10"/>
        <v>0</v>
      </c>
    </row>
    <row r="13" spans="1:20" s="4" customFormat="1" x14ac:dyDescent="0.2">
      <c r="A13" s="2">
        <v>8</v>
      </c>
      <c r="B13" s="28" t="str">
        <f>Salários!B17</f>
        <v>Assessor Técnico</v>
      </c>
      <c r="C13" s="163">
        <f>Salários!C17</f>
        <v>10</v>
      </c>
      <c r="D13" s="27" t="s">
        <v>16</v>
      </c>
      <c r="E13" s="29">
        <v>24</v>
      </c>
      <c r="F13" s="173">
        <f>Salários!D17</f>
        <v>4200</v>
      </c>
      <c r="G13" s="173">
        <f t="shared" si="4"/>
        <v>1008000</v>
      </c>
      <c r="H13" s="30">
        <f>'08. ass tec'!I109</f>
        <v>5866.3499999999995</v>
      </c>
      <c r="I13" s="31">
        <f t="shared" si="1"/>
        <v>58663.499999999993</v>
      </c>
      <c r="J13" s="32">
        <f t="shared" si="2"/>
        <v>1407923.9999999998</v>
      </c>
      <c r="K13" s="125"/>
      <c r="L13" s="208" t="str">
        <f t="shared" si="5"/>
        <v>Assessor Técnico</v>
      </c>
      <c r="M13" s="209">
        <f t="shared" si="6"/>
        <v>10</v>
      </c>
      <c r="N13" s="214">
        <f t="shared" si="7"/>
        <v>591.79999999999995</v>
      </c>
      <c r="O13" s="215">
        <f t="shared" si="8"/>
        <v>5918</v>
      </c>
      <c r="P13" s="215">
        <f t="shared" si="9"/>
        <v>142032</v>
      </c>
      <c r="Q13" s="215">
        <v>0</v>
      </c>
      <c r="R13" s="215">
        <f t="shared" si="3"/>
        <v>0</v>
      </c>
      <c r="S13" s="215">
        <f t="shared" si="10"/>
        <v>0</v>
      </c>
    </row>
    <row r="14" spans="1:20" s="4" customFormat="1" x14ac:dyDescent="0.2">
      <c r="A14" s="2">
        <v>9</v>
      </c>
      <c r="B14" s="28" t="str">
        <f>Salários!B18</f>
        <v>Fisioterapeuta</v>
      </c>
      <c r="C14" s="163">
        <f>Salários!C18</f>
        <v>5</v>
      </c>
      <c r="D14" s="27" t="s">
        <v>16</v>
      </c>
      <c r="E14" s="29">
        <v>24</v>
      </c>
      <c r="F14" s="173">
        <f>Salários!D18</f>
        <v>3820</v>
      </c>
      <c r="G14" s="173">
        <f t="shared" si="4"/>
        <v>458400</v>
      </c>
      <c r="H14" s="30">
        <f>'09. fisio'!I109</f>
        <v>5335.59</v>
      </c>
      <c r="I14" s="31">
        <f t="shared" si="1"/>
        <v>26677.95</v>
      </c>
      <c r="J14" s="32">
        <f t="shared" si="2"/>
        <v>640270.80000000005</v>
      </c>
      <c r="K14" s="125"/>
      <c r="L14" s="208" t="str">
        <f t="shared" si="5"/>
        <v>Fisioterapeuta</v>
      </c>
      <c r="M14" s="209">
        <f t="shared" si="6"/>
        <v>5</v>
      </c>
      <c r="N14" s="214">
        <f t="shared" si="7"/>
        <v>591.79999999999995</v>
      </c>
      <c r="O14" s="215">
        <f t="shared" si="8"/>
        <v>2959</v>
      </c>
      <c r="P14" s="215">
        <f>O14*E14</f>
        <v>71016</v>
      </c>
      <c r="Q14" s="215">
        <v>0</v>
      </c>
      <c r="R14" s="215">
        <f t="shared" si="3"/>
        <v>0</v>
      </c>
      <c r="S14" s="215">
        <f t="shared" si="10"/>
        <v>0</v>
      </c>
    </row>
    <row r="15" spans="1:20" s="4" customFormat="1" x14ac:dyDescent="0.2">
      <c r="B15" s="178" t="s">
        <v>17</v>
      </c>
      <c r="C15" s="179"/>
      <c r="D15" s="180"/>
      <c r="E15" s="181"/>
      <c r="F15" s="181"/>
      <c r="G15" s="181"/>
      <c r="H15" s="182"/>
      <c r="I15" s="157">
        <f>SUM(I16:I17)</f>
        <v>25850.209000000003</v>
      </c>
      <c r="J15" s="157">
        <f>SUM(J16:J17)</f>
        <v>620405.01599999995</v>
      </c>
      <c r="K15" s="125"/>
      <c r="L15" s="125"/>
      <c r="M15" s="125"/>
      <c r="N15" s="125"/>
      <c r="O15" s="125"/>
      <c r="P15" s="125"/>
      <c r="Q15" s="125"/>
      <c r="R15" s="125"/>
    </row>
    <row r="16" spans="1:20" s="4" customFormat="1" ht="12.75" customHeight="1" x14ac:dyDescent="0.2">
      <c r="B16" s="28" t="s">
        <v>18</v>
      </c>
      <c r="C16" s="171" t="s">
        <v>19</v>
      </c>
      <c r="D16" s="167" t="s">
        <v>20</v>
      </c>
      <c r="E16" s="190" t="s">
        <v>19</v>
      </c>
      <c r="F16" s="198">
        <v>26.9</v>
      </c>
      <c r="G16" s="198"/>
      <c r="H16" s="168">
        <f>N5</f>
        <v>5326.2000000000007</v>
      </c>
      <c r="I16" s="169">
        <f>O5</f>
        <v>25447.4</v>
      </c>
      <c r="J16" s="170">
        <f>P5</f>
        <v>610737.6</v>
      </c>
      <c r="K16" s="125"/>
      <c r="L16" s="290" t="s">
        <v>21</v>
      </c>
      <c r="M16" s="290"/>
      <c r="N16" s="290"/>
      <c r="O16" s="290"/>
      <c r="P16" s="290"/>
      <c r="Q16" s="290"/>
      <c r="R16" s="290"/>
      <c r="S16" s="290"/>
    </row>
    <row r="17" spans="2:21" s="4" customFormat="1" ht="12.75" customHeight="1" x14ac:dyDescent="0.2">
      <c r="B17" s="28" t="s">
        <v>22</v>
      </c>
      <c r="C17" s="171" t="s">
        <v>19</v>
      </c>
      <c r="D17" s="167" t="s">
        <v>20</v>
      </c>
      <c r="E17" s="190" t="s">
        <v>19</v>
      </c>
      <c r="F17" s="198">
        <v>4.55</v>
      </c>
      <c r="G17" s="198"/>
      <c r="H17" s="168">
        <f>Q5</f>
        <v>80.561799999999991</v>
      </c>
      <c r="I17" s="169">
        <f>R5</f>
        <v>402.80899999999997</v>
      </c>
      <c r="J17" s="170">
        <f>S5</f>
        <v>9667.4159999999993</v>
      </c>
      <c r="K17" s="125"/>
      <c r="L17" s="290" t="s">
        <v>167</v>
      </c>
      <c r="M17" s="290"/>
      <c r="N17" s="290"/>
      <c r="O17" s="290"/>
      <c r="P17" s="290"/>
      <c r="Q17" s="290"/>
      <c r="R17" s="290"/>
      <c r="S17" s="290"/>
    </row>
    <row r="18" spans="2:21" s="4" customFormat="1" ht="17.45" customHeight="1" x14ac:dyDescent="0.2">
      <c r="B18" s="286" t="s">
        <v>23</v>
      </c>
      <c r="C18" s="287"/>
      <c r="D18" s="287"/>
      <c r="E18" s="287"/>
      <c r="F18" s="287"/>
      <c r="G18" s="287"/>
      <c r="H18" s="288"/>
      <c r="I18" s="183">
        <f>I15+I5</f>
        <v>245498.14852500003</v>
      </c>
      <c r="J18" s="183">
        <f>J15+J5</f>
        <v>5891955.5645999992</v>
      </c>
      <c r="K18" s="125"/>
      <c r="L18" s="289" t="s">
        <v>171</v>
      </c>
      <c r="M18" s="289"/>
      <c r="N18" s="289"/>
      <c r="O18" s="289"/>
      <c r="P18" s="289"/>
      <c r="Q18" s="289"/>
      <c r="R18" s="289"/>
      <c r="S18" s="289"/>
      <c r="T18" s="210"/>
      <c r="U18" s="210"/>
    </row>
    <row r="19" spans="2:21" s="4" customFormat="1" ht="15" x14ac:dyDescent="0.2">
      <c r="B19" s="144" t="s">
        <v>1</v>
      </c>
      <c r="C19" s="145" t="s">
        <v>2</v>
      </c>
      <c r="D19" s="153" t="s">
        <v>3</v>
      </c>
      <c r="E19" s="154" t="s">
        <v>4</v>
      </c>
      <c r="F19" s="154"/>
      <c r="G19" s="154"/>
      <c r="H19" s="156" t="s">
        <v>24</v>
      </c>
      <c r="I19" s="156" t="s">
        <v>7</v>
      </c>
      <c r="J19" s="156" t="s">
        <v>8</v>
      </c>
      <c r="K19" s="136"/>
      <c r="L19" s="289"/>
      <c r="M19" s="289"/>
      <c r="N19" s="289"/>
      <c r="O19" s="289"/>
      <c r="P19" s="289"/>
      <c r="Q19" s="289"/>
      <c r="R19" s="289"/>
      <c r="S19" s="289"/>
      <c r="T19" s="210"/>
      <c r="U19" s="210"/>
    </row>
    <row r="20" spans="2:21" s="11" customFormat="1" ht="12.75" customHeight="1" x14ac:dyDescent="0.2">
      <c r="B20" s="116" t="s">
        <v>189</v>
      </c>
      <c r="C20" s="98"/>
      <c r="D20" s="99"/>
      <c r="E20" s="100"/>
      <c r="F20" s="100"/>
      <c r="G20" s="100"/>
      <c r="H20" s="101"/>
      <c r="I20" s="102">
        <f>SUM(I21:I21)</f>
        <v>20500</v>
      </c>
      <c r="J20" s="102">
        <f>SUM(J21:J23)</f>
        <v>412000</v>
      </c>
      <c r="K20" s="132"/>
      <c r="L20" s="289"/>
      <c r="M20" s="289"/>
      <c r="N20" s="289"/>
      <c r="O20" s="289"/>
      <c r="P20" s="289"/>
      <c r="Q20" s="289"/>
      <c r="R20" s="289"/>
      <c r="S20" s="289"/>
      <c r="T20" s="210"/>
      <c r="U20" s="210"/>
    </row>
    <row r="21" spans="2:21" s="94" customFormat="1" ht="105.75" customHeight="1" x14ac:dyDescent="0.2">
      <c r="B21" s="91" t="s">
        <v>233</v>
      </c>
      <c r="C21" s="92">
        <v>5</v>
      </c>
      <c r="D21" s="93" t="s">
        <v>20</v>
      </c>
      <c r="E21" s="92">
        <f>4*2</f>
        <v>8</v>
      </c>
      <c r="F21" s="92"/>
      <c r="G21" s="92"/>
      <c r="H21" s="34">
        <v>4100</v>
      </c>
      <c r="I21" s="34">
        <f>H21*C21</f>
        <v>20500</v>
      </c>
      <c r="J21" s="34">
        <f>I21*E21</f>
        <v>164000</v>
      </c>
      <c r="K21" s="125"/>
      <c r="L21" s="125">
        <f>7500/3</f>
        <v>2500</v>
      </c>
      <c r="M21" s="125"/>
      <c r="N21" s="125"/>
      <c r="O21" s="125"/>
      <c r="P21" s="125"/>
      <c r="Q21" s="125"/>
      <c r="R21" s="125"/>
      <c r="S21" s="106"/>
    </row>
    <row r="22" spans="2:21" ht="76.5" x14ac:dyDescent="0.2">
      <c r="B22" s="33" t="s">
        <v>234</v>
      </c>
      <c r="C22" s="103">
        <v>5</v>
      </c>
      <c r="D22" s="104" t="s">
        <v>20</v>
      </c>
      <c r="E22" s="92">
        <f>4*2</f>
        <v>8</v>
      </c>
      <c r="F22" s="92"/>
      <c r="G22" s="92"/>
      <c r="H22" s="34">
        <v>3100</v>
      </c>
      <c r="I22" s="105">
        <f>H22*C22</f>
        <v>15500</v>
      </c>
      <c r="J22" s="32">
        <f t="shared" ref="J22:J23" si="11">E22*I22</f>
        <v>124000</v>
      </c>
      <c r="K22" s="125"/>
      <c r="L22" s="125"/>
      <c r="M22" s="125"/>
      <c r="N22" s="125"/>
      <c r="O22" s="125"/>
      <c r="P22" s="125"/>
      <c r="Q22" s="125"/>
      <c r="R22" s="125"/>
      <c r="S22" s="131">
        <f>55010/1000</f>
        <v>55.01</v>
      </c>
      <c r="T22" s="131">
        <f>54700/1000</f>
        <v>54.7</v>
      </c>
      <c r="U22" s="131">
        <v>48.01</v>
      </c>
    </row>
    <row r="23" spans="2:21" s="227" customFormat="1" ht="76.5" x14ac:dyDescent="0.2">
      <c r="B23" s="33" t="s">
        <v>235</v>
      </c>
      <c r="C23" s="92">
        <v>5</v>
      </c>
      <c r="D23" s="93" t="s">
        <v>20</v>
      </c>
      <c r="E23" s="92">
        <f>4*2</f>
        <v>8</v>
      </c>
      <c r="F23" s="92"/>
      <c r="G23" s="92"/>
      <c r="H23" s="34">
        <v>3100</v>
      </c>
      <c r="I23" s="105">
        <f>H23*C23</f>
        <v>15500</v>
      </c>
      <c r="J23" s="32">
        <f t="shared" si="11"/>
        <v>124000</v>
      </c>
      <c r="K23" s="125"/>
      <c r="L23" s="125"/>
      <c r="M23" s="125"/>
      <c r="N23" s="125"/>
      <c r="O23" s="228"/>
      <c r="P23" s="228"/>
      <c r="Q23" s="292"/>
      <c r="R23" s="292"/>
      <c r="S23" s="229"/>
      <c r="T23" s="229"/>
      <c r="U23" s="229"/>
    </row>
    <row r="24" spans="2:21" s="227" customFormat="1" ht="30" x14ac:dyDescent="0.2">
      <c r="B24" s="144" t="s">
        <v>1</v>
      </c>
      <c r="C24" s="145" t="s">
        <v>2</v>
      </c>
      <c r="D24" s="153" t="s">
        <v>3</v>
      </c>
      <c r="E24" s="154" t="s">
        <v>195</v>
      </c>
      <c r="F24" s="154"/>
      <c r="G24" s="154"/>
      <c r="H24" s="156" t="s">
        <v>24</v>
      </c>
      <c r="I24" s="156" t="s">
        <v>221</v>
      </c>
      <c r="J24" s="156" t="s">
        <v>8</v>
      </c>
      <c r="K24" s="125"/>
      <c r="L24" s="252" t="s">
        <v>228</v>
      </c>
      <c r="M24" s="253"/>
      <c r="N24" s="170"/>
      <c r="O24" s="228"/>
      <c r="P24" s="228"/>
      <c r="Q24" s="132"/>
      <c r="R24" s="132"/>
      <c r="S24" s="229"/>
      <c r="T24" s="229"/>
      <c r="U24" s="229"/>
    </row>
    <row r="25" spans="2:21" s="227" customFormat="1" x14ac:dyDescent="0.2">
      <c r="B25" s="116" t="s">
        <v>190</v>
      </c>
      <c r="C25" s="98"/>
      <c r="D25" s="99"/>
      <c r="E25" s="100"/>
      <c r="F25" s="100"/>
      <c r="G25" s="100"/>
      <c r="H25" s="101"/>
      <c r="I25" s="102">
        <f>SUM(I26:I26)</f>
        <v>13794</v>
      </c>
      <c r="J25" s="102">
        <f>SUM(J26:J34)</f>
        <v>644290.32499999995</v>
      </c>
      <c r="K25" s="125"/>
      <c r="L25" s="240" t="s">
        <v>225</v>
      </c>
      <c r="M25" s="241" t="s">
        <v>226</v>
      </c>
      <c r="N25" s="242"/>
      <c r="O25" s="228"/>
      <c r="P25" s="228"/>
      <c r="Q25" s="132"/>
      <c r="R25" s="132"/>
      <c r="S25" s="229"/>
      <c r="T25" s="229"/>
      <c r="U25" s="229"/>
    </row>
    <row r="26" spans="2:21" s="227" customFormat="1" ht="51" x14ac:dyDescent="0.2">
      <c r="B26" s="33" t="s">
        <v>191</v>
      </c>
      <c r="C26" s="92">
        <v>950</v>
      </c>
      <c r="D26" s="104" t="s">
        <v>193</v>
      </c>
      <c r="E26" s="92">
        <v>2</v>
      </c>
      <c r="F26" s="92"/>
      <c r="G26" s="92"/>
      <c r="H26" s="254">
        <v>14.52</v>
      </c>
      <c r="I26" s="254">
        <f>H26*C26</f>
        <v>13794</v>
      </c>
      <c r="J26" s="215">
        <f>I26*E26</f>
        <v>27588</v>
      </c>
      <c r="K26" s="125"/>
      <c r="L26" s="243"/>
      <c r="M26" s="125"/>
      <c r="N26" s="244"/>
      <c r="O26" s="228"/>
      <c r="P26" s="228"/>
      <c r="Q26" s="132"/>
      <c r="R26" s="132"/>
      <c r="S26" s="229"/>
      <c r="T26" s="229"/>
      <c r="U26" s="229"/>
    </row>
    <row r="27" spans="2:21" s="227" customFormat="1" ht="51" x14ac:dyDescent="0.2">
      <c r="B27" s="33" t="s">
        <v>192</v>
      </c>
      <c r="C27" s="92">
        <v>475</v>
      </c>
      <c r="D27" s="104" t="s">
        <v>231</v>
      </c>
      <c r="E27" s="92">
        <v>2</v>
      </c>
      <c r="F27" s="92"/>
      <c r="G27" s="92"/>
      <c r="H27" s="255">
        <v>139</v>
      </c>
      <c r="I27" s="255">
        <f t="shared" ref="I27:I34" si="12">H27*C27</f>
        <v>66025</v>
      </c>
      <c r="J27" s="256">
        <f t="shared" ref="J27:J34" si="13">I27*E27</f>
        <v>132050</v>
      </c>
      <c r="K27" s="125"/>
      <c r="L27" s="243"/>
      <c r="M27" s="125"/>
      <c r="N27" s="244"/>
      <c r="O27" s="228"/>
      <c r="P27" s="228"/>
      <c r="Q27" s="132"/>
      <c r="R27" s="132"/>
      <c r="S27" s="229"/>
      <c r="T27" s="229"/>
      <c r="U27" s="229"/>
    </row>
    <row r="28" spans="2:21" s="227" customFormat="1" ht="38.25" x14ac:dyDescent="0.2">
      <c r="B28" s="33" t="s">
        <v>194</v>
      </c>
      <c r="C28" s="92">
        <v>100</v>
      </c>
      <c r="D28" s="104" t="s">
        <v>231</v>
      </c>
      <c r="E28" s="92">
        <v>2</v>
      </c>
      <c r="F28" s="92"/>
      <c r="G28" s="92"/>
      <c r="H28" s="255">
        <v>89</v>
      </c>
      <c r="I28" s="255">
        <f t="shared" si="12"/>
        <v>8900</v>
      </c>
      <c r="J28" s="256">
        <f t="shared" si="13"/>
        <v>17800</v>
      </c>
      <c r="K28" s="125"/>
      <c r="L28" s="245">
        <f>9129/100</f>
        <v>91.29</v>
      </c>
      <c r="M28" s="246">
        <f>10992.99/100</f>
        <v>109.9299</v>
      </c>
      <c r="N28" s="244"/>
      <c r="O28" s="228"/>
      <c r="P28" s="228"/>
      <c r="Q28" s="132"/>
      <c r="R28" s="132"/>
      <c r="S28" s="229"/>
      <c r="T28" s="229"/>
      <c r="U28" s="229"/>
    </row>
    <row r="29" spans="2:21" s="227" customFormat="1" ht="38.25" x14ac:dyDescent="0.2">
      <c r="B29" s="33" t="s">
        <v>196</v>
      </c>
      <c r="C29" s="92">
        <v>475</v>
      </c>
      <c r="D29" s="104" t="s">
        <v>231</v>
      </c>
      <c r="E29" s="92">
        <v>2</v>
      </c>
      <c r="F29" s="92"/>
      <c r="G29" s="92"/>
      <c r="H29" s="255">
        <v>169.89</v>
      </c>
      <c r="I29" s="255">
        <f t="shared" si="12"/>
        <v>80697.75</v>
      </c>
      <c r="J29" s="256">
        <f t="shared" si="13"/>
        <v>161395.5</v>
      </c>
      <c r="K29" s="125"/>
      <c r="L29" s="243"/>
      <c r="M29" s="125"/>
      <c r="N29" s="244"/>
      <c r="O29" s="228"/>
      <c r="P29" s="228"/>
      <c r="Q29" s="132"/>
      <c r="R29" s="132"/>
      <c r="S29" s="229"/>
      <c r="T29" s="229"/>
      <c r="U29" s="229"/>
    </row>
    <row r="30" spans="2:21" s="227" customFormat="1" ht="25.5" x14ac:dyDescent="0.2">
      <c r="B30" s="33" t="s">
        <v>197</v>
      </c>
      <c r="C30" s="92">
        <v>475</v>
      </c>
      <c r="D30" s="104" t="s">
        <v>231</v>
      </c>
      <c r="E30" s="92">
        <v>2</v>
      </c>
      <c r="F30" s="92"/>
      <c r="G30" s="92"/>
      <c r="H30" s="255">
        <f>MIN(L30:N30)</f>
        <v>159.69</v>
      </c>
      <c r="I30" s="255">
        <f t="shared" si="12"/>
        <v>75852.75</v>
      </c>
      <c r="J30" s="256">
        <f t="shared" si="13"/>
        <v>151705.5</v>
      </c>
      <c r="K30" s="125"/>
      <c r="L30" s="243">
        <v>159.69</v>
      </c>
      <c r="M30" s="125">
        <v>189.99</v>
      </c>
      <c r="N30" s="244">
        <v>199.99</v>
      </c>
      <c r="O30" s="228"/>
      <c r="P30" s="228"/>
      <c r="Q30" s="132"/>
      <c r="R30" s="132"/>
      <c r="S30" s="229"/>
      <c r="T30" s="229"/>
      <c r="U30" s="229"/>
    </row>
    <row r="31" spans="2:21" s="227" customFormat="1" ht="25.5" x14ac:dyDescent="0.2">
      <c r="B31" s="33" t="s">
        <v>198</v>
      </c>
      <c r="C31" s="92">
        <v>475</v>
      </c>
      <c r="D31" s="104" t="s">
        <v>231</v>
      </c>
      <c r="E31" s="92">
        <v>2</v>
      </c>
      <c r="F31" s="92"/>
      <c r="G31" s="92"/>
      <c r="H31" s="255">
        <v>19.5</v>
      </c>
      <c r="I31" s="255">
        <f t="shared" si="12"/>
        <v>9262.5</v>
      </c>
      <c r="J31" s="256">
        <f t="shared" si="13"/>
        <v>18525</v>
      </c>
      <c r="K31" s="125"/>
      <c r="L31" s="243"/>
      <c r="M31" s="125"/>
      <c r="N31" s="244"/>
      <c r="O31" s="228"/>
      <c r="P31" s="228"/>
      <c r="Q31" s="132"/>
      <c r="R31" s="132"/>
      <c r="S31" s="229"/>
      <c r="T31" s="229"/>
      <c r="U31" s="229"/>
    </row>
    <row r="32" spans="2:21" s="227" customFormat="1" ht="25.5" x14ac:dyDescent="0.2">
      <c r="B32" s="33" t="s">
        <v>199</v>
      </c>
      <c r="C32" s="92">
        <v>475</v>
      </c>
      <c r="D32" s="104" t="s">
        <v>231</v>
      </c>
      <c r="E32" s="92">
        <v>2</v>
      </c>
      <c r="F32" s="92"/>
      <c r="G32" s="92"/>
      <c r="H32" s="255">
        <f>MIN(L32:N32)</f>
        <v>121.30999999999999</v>
      </c>
      <c r="I32" s="255">
        <f t="shared" si="12"/>
        <v>57622.249999999993</v>
      </c>
      <c r="J32" s="256">
        <f t="shared" si="13"/>
        <v>115244.49999999999</v>
      </c>
      <c r="K32" s="125"/>
      <c r="L32" s="247">
        <f>1213.1/10</f>
        <v>121.30999999999999</v>
      </c>
      <c r="M32" s="246">
        <f>12430.99/100</f>
        <v>124.3099</v>
      </c>
      <c r="N32" s="248"/>
      <c r="O32" s="228"/>
      <c r="P32" s="228"/>
      <c r="Q32" s="132"/>
      <c r="R32" s="132"/>
      <c r="S32" s="229"/>
      <c r="T32" s="229"/>
      <c r="U32" s="229"/>
    </row>
    <row r="33" spans="2:21" s="227" customFormat="1" ht="25.5" x14ac:dyDescent="0.2">
      <c r="B33" s="33" t="s">
        <v>200</v>
      </c>
      <c r="C33" s="92">
        <v>475</v>
      </c>
      <c r="D33" s="104" t="s">
        <v>231</v>
      </c>
      <c r="E33" s="92">
        <v>2</v>
      </c>
      <c r="F33" s="92"/>
      <c r="G33" s="92"/>
      <c r="H33" s="255">
        <v>12.9</v>
      </c>
      <c r="I33" s="255">
        <f t="shared" si="12"/>
        <v>6127.5</v>
      </c>
      <c r="J33" s="256">
        <f t="shared" si="13"/>
        <v>12255</v>
      </c>
      <c r="K33" s="125"/>
      <c r="L33" s="243">
        <f>8676.67/500</f>
        <v>17.353339999999999</v>
      </c>
      <c r="M33" s="125">
        <f>727.99/50</f>
        <v>14.559800000000001</v>
      </c>
      <c r="N33" s="244"/>
      <c r="O33" s="228"/>
      <c r="P33" s="228"/>
      <c r="Q33" s="132"/>
      <c r="R33" s="132"/>
      <c r="S33" s="229"/>
      <c r="T33" s="229"/>
      <c r="U33" s="229"/>
    </row>
    <row r="34" spans="2:21" s="227" customFormat="1" ht="38.25" x14ac:dyDescent="0.2">
      <c r="B34" s="33" t="s">
        <v>201</v>
      </c>
      <c r="C34" s="92">
        <v>475</v>
      </c>
      <c r="D34" s="104" t="s">
        <v>231</v>
      </c>
      <c r="E34" s="92">
        <v>2</v>
      </c>
      <c r="F34" s="92"/>
      <c r="G34" s="92"/>
      <c r="H34" s="255">
        <f>L34</f>
        <v>8.1334999999999997</v>
      </c>
      <c r="I34" s="255">
        <f t="shared" si="12"/>
        <v>3863.4124999999999</v>
      </c>
      <c r="J34" s="256">
        <f t="shared" si="13"/>
        <v>7726.8249999999998</v>
      </c>
      <c r="K34" s="125"/>
      <c r="L34" s="249">
        <f>(223.35/100)+5.9</f>
        <v>8.1334999999999997</v>
      </c>
      <c r="M34" s="250"/>
      <c r="N34" s="251"/>
      <c r="O34" s="228"/>
      <c r="P34" s="228"/>
      <c r="Q34" s="132"/>
      <c r="R34" s="132"/>
      <c r="S34" s="229"/>
      <c r="T34" s="229"/>
      <c r="U34" s="229"/>
    </row>
    <row r="35" spans="2:21" s="118" customFormat="1" ht="26.25" customHeight="1" x14ac:dyDescent="0.2">
      <c r="B35" s="264" t="s">
        <v>29</v>
      </c>
      <c r="C35" s="265"/>
      <c r="D35" s="265"/>
      <c r="E35" s="265"/>
      <c r="F35" s="265"/>
      <c r="G35" s="265"/>
      <c r="H35" s="266"/>
      <c r="I35" s="267">
        <f>J18+J20+J25</f>
        <v>6948245.8895999994</v>
      </c>
      <c r="J35" s="268"/>
      <c r="K35" s="138"/>
      <c r="L35" s="138"/>
      <c r="M35" s="138"/>
      <c r="N35" s="138"/>
      <c r="S35" s="117"/>
      <c r="T35" s="184"/>
      <c r="U35" s="185"/>
    </row>
    <row r="36" spans="2:21" ht="13.5" thickBot="1" x14ac:dyDescent="0.25">
      <c r="B36" s="21"/>
      <c r="C36" s="21"/>
      <c r="D36" s="21"/>
      <c r="E36" s="21"/>
      <c r="F36" s="21"/>
      <c r="G36" s="21"/>
      <c r="H36" s="21"/>
      <c r="T36" s="10"/>
    </row>
    <row r="37" spans="2:21" ht="15" x14ac:dyDescent="0.2">
      <c r="B37" s="279" t="s">
        <v>202</v>
      </c>
      <c r="C37" s="280"/>
      <c r="D37" s="280"/>
      <c r="E37" s="280"/>
      <c r="F37" s="280"/>
      <c r="G37" s="280"/>
      <c r="H37" s="281"/>
      <c r="T37" s="10"/>
    </row>
    <row r="38" spans="2:21" ht="15" x14ac:dyDescent="0.2">
      <c r="B38" s="144" t="s">
        <v>1</v>
      </c>
      <c r="C38" s="277" t="s">
        <v>205</v>
      </c>
      <c r="D38" s="278"/>
      <c r="E38" s="154" t="s">
        <v>4</v>
      </c>
      <c r="F38" s="154" t="s">
        <v>30</v>
      </c>
      <c r="G38" s="154"/>
      <c r="H38" s="186" t="s">
        <v>31</v>
      </c>
      <c r="I38" s="187"/>
      <c r="J38" s="187"/>
      <c r="L38" s="257" t="s">
        <v>232</v>
      </c>
      <c r="N38" s="134">
        <f>32*3200*12</f>
        <v>1228800</v>
      </c>
      <c r="O38" s="192" t="s">
        <v>25</v>
      </c>
      <c r="P38" s="193">
        <f>P44</f>
        <v>7014843.0999999996</v>
      </c>
      <c r="T38" s="10"/>
    </row>
    <row r="39" spans="2:21" ht="25.5" x14ac:dyDescent="0.2">
      <c r="B39" s="232" t="s">
        <v>203</v>
      </c>
      <c r="C39" s="275" t="s">
        <v>206</v>
      </c>
      <c r="D39" s="276"/>
      <c r="E39" s="92">
        <v>2</v>
      </c>
      <c r="F39" s="235">
        <v>100000</v>
      </c>
      <c r="G39" s="235"/>
      <c r="H39" s="32">
        <f>F39*E39</f>
        <v>200000</v>
      </c>
      <c r="I39" s="124"/>
      <c r="J39" s="125"/>
      <c r="L39" s="258">
        <v>6983488.0206880001</v>
      </c>
      <c r="O39" s="196">
        <v>0.1</v>
      </c>
      <c r="P39" s="197">
        <f>P38-(P38*10%)</f>
        <v>6313358.7899999991</v>
      </c>
      <c r="T39" s="10"/>
    </row>
    <row r="40" spans="2:21" x14ac:dyDescent="0.2">
      <c r="B40" s="233" t="s">
        <v>204</v>
      </c>
      <c r="C40" s="275" t="s">
        <v>206</v>
      </c>
      <c r="D40" s="276"/>
      <c r="E40" s="92">
        <v>2</v>
      </c>
      <c r="F40" s="235">
        <v>80000</v>
      </c>
      <c r="G40" s="235"/>
      <c r="H40" s="32">
        <f t="shared" ref="H40:H52" si="14">F40*E40</f>
        <v>160000</v>
      </c>
      <c r="I40" s="124"/>
      <c r="J40" s="125"/>
      <c r="O40" s="194" t="s">
        <v>26</v>
      </c>
      <c r="P40" s="195">
        <f>100%-(I35/P38)</f>
        <v>9.4937562324095559E-3</v>
      </c>
      <c r="T40" s="10"/>
    </row>
    <row r="41" spans="2:21" x14ac:dyDescent="0.2">
      <c r="B41" s="28" t="s">
        <v>207</v>
      </c>
      <c r="C41" s="275" t="s">
        <v>206</v>
      </c>
      <c r="D41" s="276"/>
      <c r="E41" s="92">
        <v>2</v>
      </c>
      <c r="F41" s="235">
        <v>40000</v>
      </c>
      <c r="G41" s="235"/>
      <c r="H41" s="32">
        <f t="shared" si="14"/>
        <v>80000</v>
      </c>
      <c r="I41" s="124"/>
      <c r="J41" s="125"/>
      <c r="L41" s="134">
        <f>I35-L39</f>
        <v>-35242.131088000722</v>
      </c>
      <c r="O41" s="125"/>
      <c r="P41" s="125"/>
      <c r="T41" s="10"/>
    </row>
    <row r="42" spans="2:21" x14ac:dyDescent="0.2">
      <c r="B42" s="230" t="s">
        <v>208</v>
      </c>
      <c r="C42" s="275" t="s">
        <v>206</v>
      </c>
      <c r="D42" s="276"/>
      <c r="E42" s="27">
        <v>2</v>
      </c>
      <c r="F42" s="236">
        <v>50000</v>
      </c>
      <c r="G42" s="236"/>
      <c r="H42" s="32">
        <f t="shared" si="14"/>
        <v>100000</v>
      </c>
      <c r="O42" s="125"/>
      <c r="P42" s="23"/>
      <c r="T42" s="10"/>
    </row>
    <row r="43" spans="2:21" x14ac:dyDescent="0.2">
      <c r="B43" s="230" t="s">
        <v>223</v>
      </c>
      <c r="C43" s="275" t="s">
        <v>206</v>
      </c>
      <c r="D43" s="276"/>
      <c r="E43" s="27">
        <v>2</v>
      </c>
      <c r="F43" s="236">
        <v>100000</v>
      </c>
      <c r="G43" s="236"/>
      <c r="H43" s="32">
        <f t="shared" si="14"/>
        <v>200000</v>
      </c>
      <c r="O43" s="125"/>
      <c r="P43" s="23"/>
      <c r="T43" s="10"/>
    </row>
    <row r="44" spans="2:21" x14ac:dyDescent="0.2">
      <c r="B44" s="230" t="s">
        <v>209</v>
      </c>
      <c r="C44" s="275" t="s">
        <v>206</v>
      </c>
      <c r="D44" s="276"/>
      <c r="E44" s="27">
        <v>2</v>
      </c>
      <c r="F44" s="236">
        <v>30000</v>
      </c>
      <c r="G44" s="236"/>
      <c r="H44" s="32">
        <f t="shared" si="14"/>
        <v>60000</v>
      </c>
      <c r="O44" s="125" t="s">
        <v>220</v>
      </c>
      <c r="P44" s="234">
        <v>7014843.0999999996</v>
      </c>
      <c r="T44" s="10"/>
    </row>
    <row r="45" spans="2:21" x14ac:dyDescent="0.2">
      <c r="B45" s="230" t="s">
        <v>210</v>
      </c>
      <c r="C45" s="275" t="s">
        <v>211</v>
      </c>
      <c r="D45" s="276"/>
      <c r="E45" s="27">
        <v>2</v>
      </c>
      <c r="F45" s="236">
        <v>510000</v>
      </c>
      <c r="G45" s="236"/>
      <c r="H45" s="32">
        <f t="shared" si="14"/>
        <v>1020000</v>
      </c>
      <c r="L45" s="134">
        <f>P44+H53</f>
        <v>12004843.1</v>
      </c>
      <c r="N45" s="2"/>
      <c r="O45" s="134" t="s">
        <v>219</v>
      </c>
      <c r="P45" s="234">
        <v>5030000</v>
      </c>
      <c r="T45" s="10"/>
    </row>
    <row r="46" spans="2:21" x14ac:dyDescent="0.2">
      <c r="B46" s="230" t="s">
        <v>212</v>
      </c>
      <c r="C46" s="275" t="s">
        <v>211</v>
      </c>
      <c r="D46" s="276"/>
      <c r="E46" s="27">
        <v>2</v>
      </c>
      <c r="F46" s="236">
        <v>55000</v>
      </c>
      <c r="G46" s="236"/>
      <c r="H46" s="32">
        <f t="shared" si="14"/>
        <v>110000</v>
      </c>
      <c r="O46" s="125" t="s">
        <v>227</v>
      </c>
      <c r="P46" s="238">
        <f>SUM(P44:P45)</f>
        <v>12044843.1</v>
      </c>
      <c r="T46" s="10"/>
    </row>
    <row r="47" spans="2:21" x14ac:dyDescent="0.2">
      <c r="B47" s="230" t="s">
        <v>213</v>
      </c>
      <c r="C47" s="275" t="s">
        <v>206</v>
      </c>
      <c r="D47" s="276"/>
      <c r="E47" s="27">
        <v>2</v>
      </c>
      <c r="F47" s="236">
        <v>100000</v>
      </c>
      <c r="G47" s="236"/>
      <c r="H47" s="32">
        <f t="shared" si="14"/>
        <v>200000</v>
      </c>
      <c r="O47" s="125"/>
      <c r="P47" s="239"/>
      <c r="T47" s="10"/>
    </row>
    <row r="48" spans="2:21" x14ac:dyDescent="0.2">
      <c r="B48" s="230" t="s">
        <v>214</v>
      </c>
      <c r="C48" s="275" t="s">
        <v>206</v>
      </c>
      <c r="D48" s="276"/>
      <c r="E48" s="27">
        <v>2</v>
      </c>
      <c r="F48" s="236">
        <v>300000</v>
      </c>
      <c r="G48" s="236"/>
      <c r="H48" s="32">
        <f t="shared" si="14"/>
        <v>600000</v>
      </c>
      <c r="O48" s="125"/>
      <c r="P48" s="23"/>
      <c r="T48" s="10"/>
    </row>
    <row r="49" spans="2:20" x14ac:dyDescent="0.2">
      <c r="B49" s="230" t="s">
        <v>215</v>
      </c>
      <c r="C49" s="275" t="s">
        <v>206</v>
      </c>
      <c r="D49" s="276"/>
      <c r="E49" s="27">
        <v>2</v>
      </c>
      <c r="F49" s="236">
        <v>700000</v>
      </c>
      <c r="G49" s="236"/>
      <c r="H49" s="32">
        <f t="shared" si="14"/>
        <v>1400000</v>
      </c>
      <c r="O49" s="125"/>
      <c r="P49" s="23"/>
      <c r="T49" s="10"/>
    </row>
    <row r="50" spans="2:20" x14ac:dyDescent="0.2">
      <c r="B50" s="230" t="s">
        <v>216</v>
      </c>
      <c r="C50" s="275" t="s">
        <v>206</v>
      </c>
      <c r="D50" s="276"/>
      <c r="E50" s="27">
        <v>2</v>
      </c>
      <c r="F50" s="236">
        <v>250000</v>
      </c>
      <c r="G50" s="236"/>
      <c r="H50" s="32">
        <f t="shared" si="14"/>
        <v>500000</v>
      </c>
      <c r="O50" s="125"/>
      <c r="P50" s="23"/>
      <c r="T50" s="10"/>
    </row>
    <row r="51" spans="2:20" s="204" customFormat="1" x14ac:dyDescent="0.2">
      <c r="B51" s="231" t="s">
        <v>224</v>
      </c>
      <c r="C51" s="275" t="s">
        <v>206</v>
      </c>
      <c r="D51" s="276"/>
      <c r="E51" s="27">
        <v>2</v>
      </c>
      <c r="F51" s="236">
        <v>30000</v>
      </c>
      <c r="G51" s="236"/>
      <c r="H51" s="32">
        <f t="shared" si="14"/>
        <v>60000</v>
      </c>
      <c r="I51" s="199"/>
      <c r="J51" s="200"/>
      <c r="K51" s="201"/>
      <c r="L51" s="201"/>
      <c r="M51" s="201"/>
      <c r="N51" s="201"/>
      <c r="O51" s="202">
        <v>3425.39</v>
      </c>
      <c r="P51" s="203" t="s">
        <v>27</v>
      </c>
      <c r="Q51" s="201"/>
      <c r="R51" s="201"/>
      <c r="T51" s="205"/>
    </row>
    <row r="52" spans="2:20" s="204" customFormat="1" x14ac:dyDescent="0.2">
      <c r="B52" s="231" t="s">
        <v>217</v>
      </c>
      <c r="C52" s="275" t="s">
        <v>218</v>
      </c>
      <c r="D52" s="276"/>
      <c r="E52" s="237">
        <v>2</v>
      </c>
      <c r="F52" s="236">
        <v>150000</v>
      </c>
      <c r="G52" s="236"/>
      <c r="H52" s="32">
        <f t="shared" si="14"/>
        <v>300000</v>
      </c>
      <c r="I52" s="199"/>
      <c r="J52" s="200"/>
      <c r="K52" s="201"/>
      <c r="L52" s="201"/>
      <c r="M52" s="201"/>
      <c r="N52" s="201"/>
      <c r="O52" s="202">
        <v>3092.93</v>
      </c>
      <c r="P52" s="203" t="s">
        <v>28</v>
      </c>
      <c r="Q52" s="201"/>
      <c r="R52" s="201"/>
      <c r="T52" s="205"/>
    </row>
    <row r="53" spans="2:20" ht="21.75" customHeight="1" x14ac:dyDescent="0.2">
      <c r="B53" s="269" t="s">
        <v>33</v>
      </c>
      <c r="C53" s="269"/>
      <c r="D53" s="269"/>
      <c r="E53" s="269"/>
      <c r="F53" s="269"/>
      <c r="G53" s="189"/>
      <c r="H53" s="189">
        <f>SUM(H39:H52)</f>
        <v>4990000</v>
      </c>
      <c r="T53" s="10"/>
    </row>
    <row r="54" spans="2:20" x14ac:dyDescent="0.2">
      <c r="B54" s="21"/>
      <c r="C54" s="21"/>
      <c r="D54" s="21"/>
      <c r="E54" s="21"/>
      <c r="F54" s="21"/>
      <c r="G54" s="21"/>
      <c r="H54" s="188"/>
      <c r="T54" s="10"/>
    </row>
    <row r="55" spans="2:20" ht="13.5" thickBot="1" x14ac:dyDescent="0.25">
      <c r="B55" s="21"/>
      <c r="C55" s="21"/>
      <c r="D55" s="21"/>
      <c r="E55" s="21"/>
      <c r="F55" s="21"/>
      <c r="G55" s="21"/>
      <c r="H55" s="21"/>
      <c r="T55" s="10"/>
    </row>
    <row r="56" spans="2:20" ht="22.5" customHeight="1" thickBot="1" x14ac:dyDescent="0.25">
      <c r="B56" s="270" t="s">
        <v>34</v>
      </c>
      <c r="C56" s="271"/>
      <c r="D56" s="272"/>
      <c r="E56" s="272"/>
      <c r="F56" s="272"/>
      <c r="G56" s="272"/>
      <c r="H56" s="273"/>
      <c r="T56" s="10"/>
    </row>
    <row r="57" spans="2:20" ht="15" x14ac:dyDescent="0.2">
      <c r="B57" s="146" t="s">
        <v>35</v>
      </c>
      <c r="C57" s="146" t="s">
        <v>36</v>
      </c>
      <c r="D57" s="274" t="s">
        <v>37</v>
      </c>
      <c r="E57" s="274"/>
      <c r="F57" s="274"/>
      <c r="G57" s="274"/>
      <c r="H57" s="274"/>
      <c r="T57" s="10"/>
    </row>
    <row r="58" spans="2:20" ht="25.5" x14ac:dyDescent="0.2">
      <c r="B58" s="142" t="s">
        <v>38</v>
      </c>
      <c r="C58" s="143">
        <f>(I35+H53)/8</f>
        <v>1492280.7361999999</v>
      </c>
      <c r="D58" s="263" t="s">
        <v>39</v>
      </c>
      <c r="E58" s="263"/>
      <c r="F58" s="263"/>
      <c r="G58" s="263"/>
      <c r="H58" s="263"/>
      <c r="T58" s="10"/>
    </row>
    <row r="59" spans="2:20" ht="25.5" x14ac:dyDescent="0.2">
      <c r="B59" s="119" t="s">
        <v>40</v>
      </c>
      <c r="C59" s="143">
        <f>C58</f>
        <v>1492280.7361999999</v>
      </c>
      <c r="D59" s="263" t="s">
        <v>230</v>
      </c>
      <c r="E59" s="263"/>
      <c r="F59" s="263"/>
      <c r="G59" s="263"/>
      <c r="H59" s="263"/>
      <c r="O59" s="2"/>
      <c r="P59" s="2"/>
      <c r="T59" s="10"/>
    </row>
    <row r="60" spans="2:20" ht="25.5" x14ac:dyDescent="0.2">
      <c r="B60" s="142" t="s">
        <v>41</v>
      </c>
      <c r="C60" s="143">
        <f>C58</f>
        <v>1492280.7361999999</v>
      </c>
      <c r="D60" s="263" t="s">
        <v>42</v>
      </c>
      <c r="E60" s="263"/>
      <c r="F60" s="263"/>
      <c r="G60" s="263"/>
      <c r="H60" s="263"/>
      <c r="O60" s="2"/>
      <c r="P60" s="2"/>
      <c r="T60" s="10"/>
    </row>
    <row r="61" spans="2:20" ht="25.5" x14ac:dyDescent="0.2">
      <c r="B61" s="142" t="s">
        <v>43</v>
      </c>
      <c r="C61" s="143">
        <f>C58</f>
        <v>1492280.7361999999</v>
      </c>
      <c r="D61" s="263" t="s">
        <v>44</v>
      </c>
      <c r="E61" s="263"/>
      <c r="F61" s="263"/>
      <c r="G61" s="263"/>
      <c r="H61" s="263"/>
      <c r="O61" s="2"/>
      <c r="P61" s="2"/>
      <c r="T61" s="10"/>
    </row>
    <row r="62" spans="2:20" ht="25.5" x14ac:dyDescent="0.2">
      <c r="B62" s="142" t="s">
        <v>45</v>
      </c>
      <c r="C62" s="143">
        <f>C58</f>
        <v>1492280.7361999999</v>
      </c>
      <c r="D62" s="263" t="s">
        <v>46</v>
      </c>
      <c r="E62" s="263"/>
      <c r="F62" s="263"/>
      <c r="G62" s="263"/>
      <c r="H62" s="263"/>
      <c r="O62" s="2"/>
      <c r="P62" s="2"/>
      <c r="T62" s="10"/>
    </row>
    <row r="63" spans="2:20" ht="25.5" x14ac:dyDescent="0.2">
      <c r="B63" s="142" t="s">
        <v>47</v>
      </c>
      <c r="C63" s="143">
        <f>C58</f>
        <v>1492280.7361999999</v>
      </c>
      <c r="D63" s="263" t="s">
        <v>48</v>
      </c>
      <c r="E63" s="263"/>
      <c r="F63" s="263"/>
      <c r="G63" s="263"/>
      <c r="H63" s="263"/>
      <c r="O63" s="2"/>
      <c r="P63" s="2"/>
      <c r="T63" s="10"/>
    </row>
    <row r="64" spans="2:20" ht="25.5" x14ac:dyDescent="0.2">
      <c r="B64" s="142" t="s">
        <v>49</v>
      </c>
      <c r="C64" s="143">
        <f>C58</f>
        <v>1492280.7361999999</v>
      </c>
      <c r="D64" s="263" t="s">
        <v>50</v>
      </c>
      <c r="E64" s="263"/>
      <c r="F64" s="263"/>
      <c r="G64" s="263"/>
      <c r="H64" s="263"/>
      <c r="T64" s="10"/>
    </row>
    <row r="65" spans="2:20" ht="25.5" x14ac:dyDescent="0.2">
      <c r="B65" s="142" t="s">
        <v>51</v>
      </c>
      <c r="C65" s="143">
        <f>C58</f>
        <v>1492280.7361999999</v>
      </c>
      <c r="D65" s="263" t="s">
        <v>52</v>
      </c>
      <c r="E65" s="263"/>
      <c r="F65" s="263"/>
      <c r="G65" s="263"/>
      <c r="H65" s="263"/>
      <c r="T65" s="10"/>
    </row>
    <row r="66" spans="2:20" ht="17.25" customHeight="1" x14ac:dyDescent="0.2">
      <c r="B66" s="151" t="s">
        <v>33</v>
      </c>
      <c r="C66" s="284">
        <f>SUM(C58:C65)</f>
        <v>11938245.889599998</v>
      </c>
      <c r="D66" s="284"/>
      <c r="E66" s="284"/>
      <c r="F66" s="284"/>
      <c r="G66" s="284"/>
      <c r="H66" s="284"/>
      <c r="T66" s="10"/>
    </row>
    <row r="67" spans="2:20" ht="13.5" thickBot="1" x14ac:dyDescent="0.25">
      <c r="B67" s="24"/>
      <c r="H67" s="23"/>
    </row>
    <row r="68" spans="2:20" ht="24" customHeight="1" thickBot="1" x14ac:dyDescent="0.25">
      <c r="B68" s="282" t="s">
        <v>222</v>
      </c>
      <c r="C68" s="271"/>
      <c r="D68" s="271"/>
      <c r="E68" s="271"/>
      <c r="F68" s="271"/>
      <c r="G68" s="271"/>
      <c r="H68" s="271"/>
      <c r="I68" s="271"/>
      <c r="J68" s="283"/>
      <c r="K68" s="135"/>
      <c r="L68" s="135"/>
      <c r="M68" s="135"/>
      <c r="N68" s="135"/>
      <c r="O68" s="135"/>
      <c r="P68" s="2"/>
      <c r="Q68" s="2"/>
      <c r="R68" s="135"/>
    </row>
    <row r="69" spans="2:20" ht="18" customHeight="1" x14ac:dyDescent="0.2">
      <c r="B69" s="147" t="s">
        <v>1</v>
      </c>
      <c r="C69" s="146" t="s">
        <v>2</v>
      </c>
      <c r="D69" s="148" t="s">
        <v>3</v>
      </c>
      <c r="E69" s="149" t="s">
        <v>4</v>
      </c>
      <c r="F69" s="149"/>
      <c r="G69" s="149"/>
      <c r="H69" s="150" t="s">
        <v>24</v>
      </c>
      <c r="I69" s="150" t="s">
        <v>7</v>
      </c>
      <c r="J69" s="150" t="s">
        <v>8</v>
      </c>
      <c r="K69" s="136"/>
      <c r="L69" s="136"/>
      <c r="M69" s="136"/>
      <c r="N69" s="136"/>
      <c r="O69" s="136"/>
      <c r="P69" s="2"/>
      <c r="Q69" s="2"/>
      <c r="R69" s="136"/>
    </row>
    <row r="70" spans="2:20" x14ac:dyDescent="0.2">
      <c r="B70" s="119" t="s">
        <v>53</v>
      </c>
      <c r="C70" s="126">
        <v>1</v>
      </c>
      <c r="D70" s="126" t="s">
        <v>20</v>
      </c>
      <c r="E70" s="127">
        <v>24</v>
      </c>
      <c r="F70" s="127"/>
      <c r="G70" s="127"/>
      <c r="H70" s="128">
        <f>SUM(H71:H74)</f>
        <v>5500</v>
      </c>
      <c r="I70" s="129">
        <f>SUM(I71:I72)</f>
        <v>5500</v>
      </c>
      <c r="J70" s="130">
        <f>SUM(J71:J72)</f>
        <v>121000</v>
      </c>
      <c r="K70" s="132"/>
      <c r="L70" s="132"/>
      <c r="M70" s="132"/>
      <c r="N70" s="132"/>
      <c r="O70" s="132"/>
      <c r="P70" s="2"/>
      <c r="Q70" s="2"/>
      <c r="R70" s="132"/>
    </row>
    <row r="71" spans="2:20" ht="25.5" x14ac:dyDescent="0.2">
      <c r="B71" s="133" t="s">
        <v>54</v>
      </c>
      <c r="C71" s="27">
        <v>1</v>
      </c>
      <c r="D71" s="27" t="s">
        <v>20</v>
      </c>
      <c r="E71" s="92">
        <v>22</v>
      </c>
      <c r="F71" s="92"/>
      <c r="G71" s="92"/>
      <c r="H71" s="32">
        <v>3500</v>
      </c>
      <c r="I71" s="32">
        <f>H71*C71</f>
        <v>3500</v>
      </c>
      <c r="J71" s="130">
        <f t="shared" ref="J71:J72" si="15">E71*I71</f>
        <v>77000</v>
      </c>
      <c r="K71" s="125"/>
      <c r="L71" s="125"/>
      <c r="M71" s="125"/>
      <c r="N71" s="125"/>
      <c r="O71" s="125"/>
      <c r="P71" s="2"/>
      <c r="Q71" s="2"/>
      <c r="R71" s="125"/>
    </row>
    <row r="72" spans="2:20" x14ac:dyDescent="0.2">
      <c r="B72" s="28" t="s">
        <v>55</v>
      </c>
      <c r="C72" s="27">
        <v>1</v>
      </c>
      <c r="D72" s="27" t="s">
        <v>20</v>
      </c>
      <c r="E72" s="29">
        <v>22</v>
      </c>
      <c r="F72" s="29"/>
      <c r="G72" s="29"/>
      <c r="H72" s="30">
        <v>2000</v>
      </c>
      <c r="I72" s="31">
        <f>H72*C72</f>
        <v>2000</v>
      </c>
      <c r="J72" s="130">
        <f t="shared" si="15"/>
        <v>44000</v>
      </c>
      <c r="K72" s="125"/>
      <c r="L72" s="125"/>
      <c r="M72" s="125"/>
      <c r="N72" s="125"/>
      <c r="O72" s="125"/>
      <c r="P72" s="125"/>
      <c r="Q72" s="125"/>
      <c r="R72" s="125"/>
    </row>
    <row r="73" spans="2:20" x14ac:dyDescent="0.2">
      <c r="B73" s="120"/>
      <c r="C73" s="121"/>
      <c r="D73" s="121"/>
      <c r="E73" s="122"/>
      <c r="F73" s="122"/>
      <c r="G73" s="122"/>
      <c r="H73" s="123"/>
      <c r="I73" s="124"/>
      <c r="J73" s="125">
        <f>SUM(J70:J72)</f>
        <v>242000</v>
      </c>
      <c r="K73" s="125"/>
      <c r="L73" s="125"/>
      <c r="M73" s="125"/>
      <c r="N73" s="125"/>
      <c r="O73" s="125"/>
      <c r="P73" s="125"/>
      <c r="Q73" s="125"/>
      <c r="R73" s="125"/>
    </row>
    <row r="75" spans="2:20" x14ac:dyDescent="0.2"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2:20" x14ac:dyDescent="0.2">
      <c r="B76" s="19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2:20" x14ac:dyDescent="0.2">
      <c r="K77" s="139"/>
      <c r="L77" s="139"/>
      <c r="M77" s="139"/>
      <c r="N77" s="139"/>
      <c r="O77" s="139"/>
      <c r="P77" s="139"/>
      <c r="Q77" s="139"/>
      <c r="R77" s="139"/>
    </row>
    <row r="78" spans="2:20" x14ac:dyDescent="0.2">
      <c r="B78" s="110"/>
      <c r="K78" s="140"/>
      <c r="L78" s="140"/>
      <c r="M78" s="140"/>
      <c r="N78" s="140"/>
      <c r="O78" s="140"/>
      <c r="P78" s="140"/>
      <c r="Q78" s="140"/>
      <c r="R78" s="140"/>
    </row>
    <row r="79" spans="2:20" x14ac:dyDescent="0.2">
      <c r="B79" s="166"/>
      <c r="K79" s="23"/>
      <c r="L79" s="23"/>
      <c r="M79" s="23"/>
      <c r="N79" s="23"/>
      <c r="O79" s="23"/>
      <c r="P79" s="23"/>
      <c r="Q79" s="23"/>
      <c r="R79" s="23"/>
    </row>
    <row r="80" spans="2:20" x14ac:dyDescent="0.2">
      <c r="B80" s="166"/>
      <c r="K80" s="111"/>
      <c r="L80" s="111"/>
      <c r="M80" s="111"/>
      <c r="N80" s="111"/>
      <c r="O80" s="111"/>
      <c r="P80" s="111"/>
      <c r="Q80" s="111"/>
      <c r="R80" s="111"/>
    </row>
    <row r="81" spans="2:18" x14ac:dyDescent="0.2">
      <c r="K81" s="141"/>
      <c r="L81" s="141"/>
      <c r="M81" s="141"/>
      <c r="N81" s="141"/>
      <c r="O81" s="141"/>
      <c r="P81" s="141"/>
      <c r="Q81" s="141"/>
      <c r="R81" s="141"/>
    </row>
    <row r="82" spans="2:18" x14ac:dyDescent="0.2">
      <c r="B82" s="110"/>
    </row>
    <row r="83" spans="2:18" x14ac:dyDescent="0.2">
      <c r="B83" s="166"/>
    </row>
    <row r="85" spans="2:18" x14ac:dyDescent="0.2">
      <c r="B85" s="110"/>
    </row>
    <row r="86" spans="2:18" x14ac:dyDescent="0.2">
      <c r="B86" s="166"/>
    </row>
    <row r="88" spans="2:18" x14ac:dyDescent="0.2">
      <c r="B88" s="166"/>
    </row>
    <row r="91" spans="2:18" x14ac:dyDescent="0.2">
      <c r="C91" s="176"/>
    </row>
    <row r="92" spans="2:18" x14ac:dyDescent="0.2">
      <c r="C92" s="176"/>
    </row>
    <row r="93" spans="2:18" x14ac:dyDescent="0.2">
      <c r="C93" s="177"/>
    </row>
    <row r="94" spans="2:18" x14ac:dyDescent="0.2">
      <c r="C94" s="177"/>
    </row>
  </sheetData>
  <mergeCells count="38">
    <mergeCell ref="Q23:R23"/>
    <mergeCell ref="C51:D51"/>
    <mergeCell ref="C52:D52"/>
    <mergeCell ref="C43:D43"/>
    <mergeCell ref="C44:D44"/>
    <mergeCell ref="C45:D45"/>
    <mergeCell ref="C46:D46"/>
    <mergeCell ref="C47:D47"/>
    <mergeCell ref="C48:D48"/>
    <mergeCell ref="C49:D49"/>
    <mergeCell ref="C50:D50"/>
    <mergeCell ref="B3:J3"/>
    <mergeCell ref="B18:H18"/>
    <mergeCell ref="L18:S20"/>
    <mergeCell ref="L17:S17"/>
    <mergeCell ref="L16:S16"/>
    <mergeCell ref="L3:S3"/>
    <mergeCell ref="B68:J68"/>
    <mergeCell ref="D62:H62"/>
    <mergeCell ref="D63:H63"/>
    <mergeCell ref="D64:H64"/>
    <mergeCell ref="D65:H65"/>
    <mergeCell ref="C66:H66"/>
    <mergeCell ref="D61:H61"/>
    <mergeCell ref="B35:H35"/>
    <mergeCell ref="I35:J35"/>
    <mergeCell ref="B53:F53"/>
    <mergeCell ref="B56:H56"/>
    <mergeCell ref="D57:H57"/>
    <mergeCell ref="D58:H58"/>
    <mergeCell ref="D59:H59"/>
    <mergeCell ref="D60:H60"/>
    <mergeCell ref="C42:D42"/>
    <mergeCell ref="C38:D38"/>
    <mergeCell ref="C39:D39"/>
    <mergeCell ref="C40:D40"/>
    <mergeCell ref="C41:D41"/>
    <mergeCell ref="B37:H37"/>
  </mergeCells>
  <printOptions horizontalCentered="1"/>
  <pageMargins left="0.25" right="0.25" top="0.75" bottom="0.75" header="0.3" footer="0.3"/>
  <pageSetup paperSize="9" scale="91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6015-F6BC-4069-BE52-2CF4598CC5F0}">
  <sheetPr>
    <pageSetUpPr fitToPage="1"/>
  </sheetPr>
  <dimension ref="A2:L111"/>
  <sheetViews>
    <sheetView topLeftCell="A97" workbookViewId="0">
      <selection activeCell="K107" sqref="K107"/>
    </sheetView>
  </sheetViews>
  <sheetFormatPr defaultColWidth="9.140625" defaultRowHeight="15" x14ac:dyDescent="0.25"/>
  <cols>
    <col min="1" max="1" width="7.7109375" style="36" bestFit="1" customWidth="1"/>
    <col min="2" max="2" width="9.140625" style="36"/>
    <col min="3" max="3" width="29" style="36" customWidth="1"/>
    <col min="4" max="4" width="9.140625" style="36"/>
    <col min="5" max="5" width="14.28515625" style="36" bestFit="1" customWidth="1"/>
    <col min="6" max="7" width="9.140625" style="36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297" t="s">
        <v>161</v>
      </c>
      <c r="B2" s="297"/>
      <c r="C2" s="297"/>
      <c r="D2" s="297"/>
      <c r="E2" s="297"/>
      <c r="F2" s="297"/>
      <c r="G2" s="297"/>
      <c r="H2" s="297"/>
      <c r="I2" s="297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172">
        <f>Salários!D17</f>
        <v>4200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4200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349.86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466.62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816.48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401.32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401.32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816.48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401.32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1217.8</v>
      </c>
    </row>
    <row r="45" spans="1:9" x14ac:dyDescent="0.25">
      <c r="A45" s="305"/>
      <c r="B45" s="305"/>
      <c r="C45" s="305"/>
      <c r="D45" s="305"/>
      <c r="E45" s="305"/>
      <c r="F45" s="305"/>
      <c r="G45" s="305"/>
      <c r="H45" s="305"/>
      <c r="I45" s="30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7.98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6.72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2.1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1.68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0.42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0.84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19.740000000000002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350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10.08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1.26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6.72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2.1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370.16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370.16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370.16</v>
      </c>
    </row>
    <row r="75" spans="1:9" x14ac:dyDescent="0.25">
      <c r="A75" s="305"/>
      <c r="B75" s="305"/>
      <c r="C75" s="305"/>
      <c r="D75" s="305"/>
      <c r="E75" s="305"/>
      <c r="F75" s="305"/>
      <c r="G75" s="305"/>
      <c r="H75" s="305"/>
      <c r="I75" s="30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>
        <v>0</v>
      </c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05"/>
      <c r="B83" s="305"/>
      <c r="C83" s="305"/>
      <c r="D83" s="305"/>
      <c r="E83" s="305"/>
      <c r="F83" s="305"/>
      <c r="G83" s="305"/>
      <c r="H83" s="305"/>
      <c r="I83" s="30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58.65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58.65</v>
      </c>
    </row>
    <row r="93" spans="1:12" x14ac:dyDescent="0.25">
      <c r="A93" s="73"/>
      <c r="B93" s="305"/>
      <c r="C93" s="305"/>
      <c r="D93" s="305"/>
      <c r="E93" s="305"/>
      <c r="F93" s="305"/>
      <c r="G93" s="305"/>
      <c r="H93" s="305"/>
      <c r="I93" s="30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5807.7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5866.36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58.65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4200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1217.8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19.740000000000002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370.16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1666.3499999999995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5807.7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58.65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5866.3499999999995</v>
      </c>
    </row>
    <row r="110" spans="1:11" x14ac:dyDescent="0.25">
      <c r="H110" s="37"/>
      <c r="I110" s="85"/>
    </row>
    <row r="111" spans="1:11" x14ac:dyDescent="0.25">
      <c r="A111" s="56" t="s">
        <v>160</v>
      </c>
      <c r="B111" s="86">
        <f>I109/I102</f>
        <v>1.3967499999999999</v>
      </c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5752-27E5-461A-B180-E1D1D14797C4}">
  <sheetPr>
    <pageSetUpPr fitToPage="1"/>
  </sheetPr>
  <dimension ref="A2:L111"/>
  <sheetViews>
    <sheetView topLeftCell="A97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Salários!D18</f>
        <v>3820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3820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318.20999999999998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424.4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742.6099999999999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365.01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365.01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742.6099999999999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365.01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1107.6199999999999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7.26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6.11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1.91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1.53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0.38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0.76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17.950000000000003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318.33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9.17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1.1499999999999999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6.11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1.91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336.67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336.67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336.67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>
        <v>0</v>
      </c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53.35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53.35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5282.24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5335.59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53.35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3820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1107.6199999999999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17.950000000000003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336.67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1515.5900000000001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5282.24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53.35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5335.59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1.3967513089005237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27"/>
  <sheetViews>
    <sheetView topLeftCell="A2" zoomScaleNormal="100" workbookViewId="0">
      <selection activeCell="C29" sqref="C29"/>
    </sheetView>
  </sheetViews>
  <sheetFormatPr defaultColWidth="8.85546875" defaultRowHeight="12.75" x14ac:dyDescent="0.2"/>
  <cols>
    <col min="1" max="1" width="8.85546875" customWidth="1"/>
    <col min="2" max="2" width="32.42578125" bestFit="1" customWidth="1"/>
    <col min="3" max="3" width="10.5703125" style="1" customWidth="1"/>
    <col min="4" max="4" width="15" customWidth="1"/>
    <col min="5" max="5" width="13.5703125" style="5" customWidth="1"/>
    <col min="6" max="6" width="22" style="5" customWidth="1"/>
    <col min="7" max="7" width="15.28515625" bestFit="1" customWidth="1"/>
    <col min="8" max="8" width="13.28515625" style="7" customWidth="1"/>
    <col min="9" max="9" width="32.7109375" style="5" bestFit="1" customWidth="1"/>
    <col min="10" max="10" width="32.7109375" bestFit="1" customWidth="1"/>
    <col min="11" max="11" width="32.7109375" customWidth="1"/>
  </cols>
  <sheetData>
    <row r="1" spans="2:9" x14ac:dyDescent="0.2">
      <c r="B1" t="s">
        <v>32</v>
      </c>
      <c r="H1"/>
      <c r="I1"/>
    </row>
    <row r="2" spans="2:9" x14ac:dyDescent="0.2">
      <c r="H2"/>
      <c r="I2"/>
    </row>
    <row r="3" spans="2:9" x14ac:dyDescent="0.2">
      <c r="H3"/>
      <c r="I3"/>
    </row>
    <row r="4" spans="2:9" x14ac:dyDescent="0.2">
      <c r="H4"/>
      <c r="I4"/>
    </row>
    <row r="5" spans="2:9" ht="15" customHeight="1" x14ac:dyDescent="0.2">
      <c r="H5"/>
      <c r="I5"/>
    </row>
    <row r="6" spans="2:9" x14ac:dyDescent="0.2">
      <c r="B6" s="8"/>
      <c r="C6" s="12"/>
      <c r="D6" s="8"/>
      <c r="E6" s="9"/>
      <c r="F6" s="20"/>
      <c r="H6"/>
      <c r="I6"/>
    </row>
    <row r="7" spans="2:9" ht="13.5" thickBot="1" x14ac:dyDescent="0.25">
      <c r="B7" s="8"/>
      <c r="C7" s="12"/>
      <c r="D7" s="8"/>
      <c r="E7" s="9"/>
      <c r="F7" s="20"/>
      <c r="H7"/>
      <c r="I7"/>
    </row>
    <row r="8" spans="2:9" ht="13.5" thickBot="1" x14ac:dyDescent="0.25">
      <c r="B8" s="316" t="s">
        <v>168</v>
      </c>
      <c r="C8" s="317"/>
      <c r="D8" s="317"/>
      <c r="E8" s="317"/>
      <c r="F8"/>
      <c r="H8"/>
      <c r="I8"/>
    </row>
    <row r="9" spans="2:9" ht="39" thickBot="1" x14ac:dyDescent="0.25">
      <c r="B9" s="16" t="s">
        <v>163</v>
      </c>
      <c r="C9" s="17" t="s">
        <v>2</v>
      </c>
      <c r="D9" s="18" t="s">
        <v>164</v>
      </c>
      <c r="E9" s="19" t="s">
        <v>165</v>
      </c>
      <c r="F9"/>
      <c r="H9"/>
      <c r="I9"/>
    </row>
    <row r="10" spans="2:9" x14ac:dyDescent="0.2">
      <c r="B10" s="13" t="s">
        <v>176</v>
      </c>
      <c r="C10" s="14">
        <v>1</v>
      </c>
      <c r="D10" s="113">
        <v>6200</v>
      </c>
      <c r="E10" s="15">
        <v>40</v>
      </c>
      <c r="F10"/>
      <c r="H10"/>
      <c r="I10"/>
    </row>
    <row r="11" spans="2:9" x14ac:dyDescent="0.2">
      <c r="B11" t="s">
        <v>166</v>
      </c>
      <c r="C11" s="1">
        <v>1</v>
      </c>
      <c r="D11" s="114">
        <v>5400</v>
      </c>
      <c r="E11" s="12">
        <v>40</v>
      </c>
      <c r="F11"/>
      <c r="H11"/>
      <c r="I11"/>
    </row>
    <row r="12" spans="2:9" x14ac:dyDescent="0.2">
      <c r="B12" t="s">
        <v>177</v>
      </c>
      <c r="C12" s="1">
        <v>1</v>
      </c>
      <c r="D12" s="115">
        <v>5400</v>
      </c>
      <c r="E12" s="12">
        <v>40</v>
      </c>
      <c r="F12"/>
      <c r="H12"/>
      <c r="I12"/>
    </row>
    <row r="13" spans="2:9" x14ac:dyDescent="0.2">
      <c r="B13" s="112" t="s">
        <v>186</v>
      </c>
      <c r="C13" s="224">
        <v>5</v>
      </c>
      <c r="D13" s="175">
        <v>1993.97</v>
      </c>
      <c r="E13" s="12">
        <v>30</v>
      </c>
      <c r="F13"/>
      <c r="G13" s="112"/>
      <c r="H13"/>
      <c r="I13"/>
    </row>
    <row r="14" spans="2:9" x14ac:dyDescent="0.2">
      <c r="B14" s="112" t="s">
        <v>178</v>
      </c>
      <c r="C14" s="224">
        <v>1</v>
      </c>
      <c r="D14" s="115">
        <v>3980</v>
      </c>
      <c r="E14" s="12">
        <v>40</v>
      </c>
      <c r="F14"/>
      <c r="G14" s="108"/>
      <c r="H14"/>
      <c r="I14"/>
    </row>
    <row r="15" spans="2:9" x14ac:dyDescent="0.2">
      <c r="B15" s="112" t="s">
        <v>179</v>
      </c>
      <c r="C15" s="224">
        <v>1</v>
      </c>
      <c r="D15" s="174">
        <f>D11</f>
        <v>5400</v>
      </c>
      <c r="E15" s="12">
        <v>40</v>
      </c>
      <c r="F15"/>
      <c r="G15" s="109"/>
      <c r="H15"/>
      <c r="I15"/>
    </row>
    <row r="16" spans="2:9" x14ac:dyDescent="0.2">
      <c r="B16" s="112" t="s">
        <v>180</v>
      </c>
      <c r="C16" s="224">
        <f>18</f>
        <v>18</v>
      </c>
      <c r="D16" s="175">
        <v>3320</v>
      </c>
      <c r="E16" s="12">
        <v>40</v>
      </c>
      <c r="F16"/>
      <c r="G16">
        <f>17*40*4.2</f>
        <v>2856</v>
      </c>
      <c r="H16"/>
      <c r="I16"/>
    </row>
    <row r="17" spans="2:9" x14ac:dyDescent="0.2">
      <c r="B17" s="112" t="s">
        <v>181</v>
      </c>
      <c r="C17" s="224">
        <f>2*5</f>
        <v>10</v>
      </c>
      <c r="D17" s="223">
        <v>4200</v>
      </c>
      <c r="E17" s="12">
        <v>40</v>
      </c>
      <c r="F17" s="6"/>
      <c r="H17"/>
      <c r="I17"/>
    </row>
    <row r="18" spans="2:9" x14ac:dyDescent="0.2">
      <c r="B18" s="112" t="s">
        <v>182</v>
      </c>
      <c r="C18" s="224">
        <v>5</v>
      </c>
      <c r="D18" s="175">
        <v>3820</v>
      </c>
      <c r="E18" s="12">
        <v>40</v>
      </c>
      <c r="F18"/>
      <c r="H18"/>
      <c r="I18"/>
    </row>
    <row r="19" spans="2:9" x14ac:dyDescent="0.2">
      <c r="C19" s="1">
        <f>SUM(Tabela5[Qnt.])</f>
        <v>43</v>
      </c>
      <c r="D19" s="225"/>
      <c r="E19" s="226"/>
    </row>
    <row r="21" spans="2:9" x14ac:dyDescent="0.2">
      <c r="B21" s="112" t="s">
        <v>185</v>
      </c>
    </row>
    <row r="22" spans="2:9" x14ac:dyDescent="0.2">
      <c r="B22" s="112" t="s">
        <v>187</v>
      </c>
    </row>
    <row r="23" spans="2:9" x14ac:dyDescent="0.2">
      <c r="B23" s="112" t="s">
        <v>188</v>
      </c>
    </row>
    <row r="25" spans="2:9" x14ac:dyDescent="0.2">
      <c r="B25" s="112" t="s">
        <v>183</v>
      </c>
    </row>
    <row r="26" spans="2:9" x14ac:dyDescent="0.2">
      <c r="B26" s="112" t="s">
        <v>184</v>
      </c>
    </row>
    <row r="27" spans="2:9" x14ac:dyDescent="0.2">
      <c r="B27" s="112"/>
    </row>
  </sheetData>
  <mergeCells count="1">
    <mergeCell ref="B8:E8"/>
  </mergeCells>
  <pageMargins left="0.11811023622047244" right="0.11811023622047244" top="0.15748031496062992" bottom="0.15748031496062992" header="0.11811023622047244" footer="0.11811023622047244"/>
  <pageSetup paperSize="9" scale="44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DD3C-4D95-4B37-BB92-4199A4AD698D}">
  <dimension ref="B3:I31"/>
  <sheetViews>
    <sheetView topLeftCell="A7" workbookViewId="0">
      <selection activeCell="F34" sqref="F34"/>
    </sheetView>
  </sheetViews>
  <sheetFormatPr defaultRowHeight="12.75" x14ac:dyDescent="0.2"/>
  <cols>
    <col min="2" max="2" width="36.28515625" bestFit="1" customWidth="1"/>
    <col min="3" max="3" width="15.7109375" customWidth="1"/>
    <col min="4" max="4" width="16.7109375" bestFit="1" customWidth="1"/>
    <col min="5" max="5" width="18.140625" bestFit="1" customWidth="1"/>
    <col min="6" max="6" width="18.7109375" customWidth="1"/>
    <col min="7" max="7" width="15.85546875" bestFit="1" customWidth="1"/>
    <col min="8" max="8" width="16" customWidth="1"/>
    <col min="9" max="9" width="19.7109375" customWidth="1"/>
  </cols>
  <sheetData>
    <row r="3" spans="2:9" ht="15" x14ac:dyDescent="0.2">
      <c r="B3" s="291" t="s">
        <v>0</v>
      </c>
      <c r="C3" s="291"/>
      <c r="D3" s="291"/>
      <c r="E3" s="291"/>
      <c r="F3" s="291"/>
      <c r="G3" s="291"/>
      <c r="H3" s="291"/>
      <c r="I3" s="291"/>
    </row>
    <row r="4" spans="2:9" ht="25.5" x14ac:dyDescent="0.2">
      <c r="B4" s="206" t="s">
        <v>169</v>
      </c>
      <c r="C4" s="206" t="s">
        <v>170</v>
      </c>
      <c r="D4" s="206" t="s">
        <v>9</v>
      </c>
      <c r="E4" s="206" t="s">
        <v>10</v>
      </c>
      <c r="F4" s="206" t="s">
        <v>11</v>
      </c>
      <c r="G4" s="206" t="s">
        <v>12</v>
      </c>
      <c r="H4" s="206" t="s">
        <v>13</v>
      </c>
      <c r="I4" s="206" t="s">
        <v>14</v>
      </c>
    </row>
    <row r="5" spans="2:9" x14ac:dyDescent="0.2">
      <c r="B5" s="207"/>
      <c r="C5" s="216">
        <f t="shared" ref="C5:I5" si="0">SUM(C6:C14)</f>
        <v>43</v>
      </c>
      <c r="D5" s="211">
        <f t="shared" si="0"/>
        <v>5326.2000000000007</v>
      </c>
      <c r="E5" s="212">
        <f t="shared" si="0"/>
        <v>25447.4</v>
      </c>
      <c r="F5" s="213">
        <f t="shared" si="0"/>
        <v>610737.6</v>
      </c>
      <c r="G5" s="212">
        <f t="shared" si="0"/>
        <v>80.561799999999991</v>
      </c>
      <c r="H5" s="212">
        <f t="shared" si="0"/>
        <v>402.80899999999997</v>
      </c>
      <c r="I5" s="213">
        <f t="shared" si="0"/>
        <v>9667.4159999999993</v>
      </c>
    </row>
    <row r="6" spans="2:9" x14ac:dyDescent="0.2">
      <c r="B6" s="208" t="str">
        <f>GERAL!B6</f>
        <v>Coordenador Geral</v>
      </c>
      <c r="C6" s="209">
        <f>GERAL!C6</f>
        <v>1</v>
      </c>
      <c r="D6" s="208">
        <f>GERAL!N6</f>
        <v>591.79999999999995</v>
      </c>
      <c r="E6" s="208">
        <f>GERAL!O6</f>
        <v>591.79999999999995</v>
      </c>
      <c r="F6" s="208">
        <f>GERAL!P6</f>
        <v>14203.199999999999</v>
      </c>
      <c r="G6" s="208">
        <f>GERAL!Q6</f>
        <v>0</v>
      </c>
      <c r="H6" s="208">
        <f>GERAL!R6</f>
        <v>0</v>
      </c>
      <c r="I6" s="208">
        <f>GERAL!S6</f>
        <v>0</v>
      </c>
    </row>
    <row r="7" spans="2:9" x14ac:dyDescent="0.2">
      <c r="B7" s="208" t="str">
        <f>GERAL!B7</f>
        <v>Coordenador de Eventos</v>
      </c>
      <c r="C7" s="209">
        <f>GERAL!C7</f>
        <v>1</v>
      </c>
      <c r="D7" s="208">
        <f>GERAL!N7</f>
        <v>591.79999999999995</v>
      </c>
      <c r="E7" s="208">
        <f>GERAL!O7</f>
        <v>591.79999999999995</v>
      </c>
      <c r="F7" s="208">
        <f>GERAL!P7</f>
        <v>14203.199999999999</v>
      </c>
      <c r="G7" s="208">
        <f>GERAL!Q7</f>
        <v>0</v>
      </c>
      <c r="H7" s="208">
        <f>GERAL!R7</f>
        <v>0</v>
      </c>
      <c r="I7" s="208">
        <f>GERAL!S7</f>
        <v>0</v>
      </c>
    </row>
    <row r="8" spans="2:9" x14ac:dyDescent="0.2">
      <c r="B8" s="208" t="str">
        <f>GERAL!B8</f>
        <v>Coordenador Administrativo-Financeiro</v>
      </c>
      <c r="C8" s="209">
        <f>GERAL!C8</f>
        <v>1</v>
      </c>
      <c r="D8" s="208">
        <f>GERAL!N8</f>
        <v>591.79999999999995</v>
      </c>
      <c r="E8" s="208">
        <f>GERAL!O8</f>
        <v>591.79999999999995</v>
      </c>
      <c r="F8" s="208">
        <f>GERAL!P8</f>
        <v>14203.199999999999</v>
      </c>
      <c r="G8" s="208">
        <f>GERAL!Q8</f>
        <v>0</v>
      </c>
      <c r="H8" s="208">
        <f>GERAL!R8</f>
        <v>0</v>
      </c>
      <c r="I8" s="208">
        <f>GERAL!S8</f>
        <v>0</v>
      </c>
    </row>
    <row r="9" spans="2:9" x14ac:dyDescent="0.2">
      <c r="B9" s="208" t="str">
        <f>GERAL!B9</f>
        <v>Auxiliar Administrativo</v>
      </c>
      <c r="C9" s="209">
        <f>GERAL!C9</f>
        <v>5</v>
      </c>
      <c r="D9" s="208">
        <f>GERAL!N9</f>
        <v>591.79999999999995</v>
      </c>
      <c r="E9" s="208">
        <f>GERAL!O9</f>
        <v>2959</v>
      </c>
      <c r="F9" s="208">
        <f>GERAL!P9</f>
        <v>71016</v>
      </c>
      <c r="G9" s="208">
        <f>GERAL!Q9</f>
        <v>80.561799999999991</v>
      </c>
      <c r="H9" s="208">
        <f>GERAL!R9</f>
        <v>402.80899999999997</v>
      </c>
      <c r="I9" s="208">
        <f>GERAL!S9</f>
        <v>9667.4159999999993</v>
      </c>
    </row>
    <row r="10" spans="2:9" x14ac:dyDescent="0.2">
      <c r="B10" s="208" t="str">
        <f>GERAL!B10</f>
        <v>Supervisor de materiais</v>
      </c>
      <c r="C10" s="209">
        <f>GERAL!C10</f>
        <v>1</v>
      </c>
      <c r="D10" s="208">
        <f>GERAL!N10</f>
        <v>591.79999999999995</v>
      </c>
      <c r="E10" s="208">
        <f>GERAL!O10</f>
        <v>591.79999999999995</v>
      </c>
      <c r="F10" s="208">
        <f>GERAL!P10</f>
        <v>14203.199999999999</v>
      </c>
      <c r="G10" s="208">
        <f>GERAL!Q10</f>
        <v>0</v>
      </c>
      <c r="H10" s="208">
        <f>GERAL!R10</f>
        <v>0</v>
      </c>
      <c r="I10" s="208">
        <f>GERAL!S10</f>
        <v>0</v>
      </c>
    </row>
    <row r="11" spans="2:9" x14ac:dyDescent="0.2">
      <c r="B11" s="208" t="str">
        <f>GERAL!B11</f>
        <v>Coordenador Esportivo</v>
      </c>
      <c r="C11" s="209">
        <f>GERAL!C11</f>
        <v>1</v>
      </c>
      <c r="D11" s="208">
        <f>GERAL!N11</f>
        <v>591.79999999999995</v>
      </c>
      <c r="E11" s="208">
        <f>GERAL!O11</f>
        <v>591.79999999999995</v>
      </c>
      <c r="F11" s="208">
        <f>GERAL!P11</f>
        <v>14203.199999999999</v>
      </c>
      <c r="G11" s="208">
        <f>GERAL!Q11</f>
        <v>0</v>
      </c>
      <c r="H11" s="208">
        <f>GERAL!R11</f>
        <v>0</v>
      </c>
      <c r="I11" s="208">
        <f>GERAL!S11</f>
        <v>0</v>
      </c>
    </row>
    <row r="12" spans="2:9" x14ac:dyDescent="0.2">
      <c r="B12" s="208" t="str">
        <f>GERAL!B12</f>
        <v>Assistente de Modalidade</v>
      </c>
      <c r="C12" s="209">
        <f>GERAL!C12</f>
        <v>18</v>
      </c>
      <c r="D12" s="208">
        <f>GERAL!N12</f>
        <v>591.79999999999995</v>
      </c>
      <c r="E12" s="208">
        <f>GERAL!O12</f>
        <v>10652.4</v>
      </c>
      <c r="F12" s="208">
        <f>GERAL!P12</f>
        <v>255657.59999999998</v>
      </c>
      <c r="G12" s="208">
        <f>GERAL!Q12</f>
        <v>0</v>
      </c>
      <c r="H12" s="208">
        <f>GERAL!R12</f>
        <v>0</v>
      </c>
      <c r="I12" s="208">
        <f>GERAL!S12</f>
        <v>0</v>
      </c>
    </row>
    <row r="13" spans="2:9" x14ac:dyDescent="0.2">
      <c r="B13" s="208" t="str">
        <f>GERAL!B13</f>
        <v>Assessor Técnico</v>
      </c>
      <c r="C13" s="209">
        <f>GERAL!C13</f>
        <v>10</v>
      </c>
      <c r="D13" s="208">
        <f>GERAL!N13</f>
        <v>591.79999999999995</v>
      </c>
      <c r="E13" s="208">
        <f>GERAL!O13</f>
        <v>5918</v>
      </c>
      <c r="F13" s="208">
        <f>GERAL!P13</f>
        <v>142032</v>
      </c>
      <c r="G13" s="208">
        <f>GERAL!Q13</f>
        <v>0</v>
      </c>
      <c r="H13" s="208">
        <f>GERAL!R13</f>
        <v>0</v>
      </c>
      <c r="I13" s="208">
        <f>GERAL!S13</f>
        <v>0</v>
      </c>
    </row>
    <row r="14" spans="2:9" x14ac:dyDescent="0.2">
      <c r="B14" s="208" t="str">
        <f>GERAL!B14</f>
        <v>Fisioterapeuta</v>
      </c>
      <c r="C14" s="209">
        <f>GERAL!C14</f>
        <v>5</v>
      </c>
      <c r="D14" s="208">
        <f>GERAL!N14</f>
        <v>591.79999999999995</v>
      </c>
      <c r="E14" s="208">
        <f>GERAL!O14</f>
        <v>2959</v>
      </c>
      <c r="F14" s="208">
        <f>GERAL!P14</f>
        <v>71016</v>
      </c>
      <c r="G14" s="208">
        <f>GERAL!Q14</f>
        <v>0</v>
      </c>
      <c r="H14" s="208">
        <f>GERAL!R14</f>
        <v>0</v>
      </c>
      <c r="I14" s="208">
        <f>GERAL!S14</f>
        <v>0</v>
      </c>
    </row>
    <row r="16" spans="2:9" s="1" customFormat="1" ht="32.450000000000003" customHeight="1" x14ac:dyDescent="0.2">
      <c r="B16" s="222" t="s">
        <v>172</v>
      </c>
      <c r="C16" s="222" t="s">
        <v>24</v>
      </c>
      <c r="D16" s="222" t="s">
        <v>173</v>
      </c>
      <c r="E16" s="222" t="s">
        <v>174</v>
      </c>
      <c r="F16" s="217"/>
      <c r="G16" s="217"/>
      <c r="H16" s="217"/>
      <c r="I16" s="217"/>
    </row>
    <row r="17" spans="2:9" x14ac:dyDescent="0.2">
      <c r="B17" s="218" t="str">
        <f t="shared" ref="B17:B25" si="1">B6</f>
        <v>Coordenador Geral</v>
      </c>
      <c r="C17" s="219">
        <f>'01. Coord adm'!K106</f>
        <v>2524.7995250000004</v>
      </c>
      <c r="D17" s="219">
        <f t="shared" ref="D17:D25" si="2">C17*C6</f>
        <v>2524.7995250000004</v>
      </c>
      <c r="E17" s="219">
        <f>D17*24</f>
        <v>60595.188600000009</v>
      </c>
      <c r="F17" s="260"/>
      <c r="G17" s="219">
        <f>'01. Coord adm'!K106</f>
        <v>2524.7995250000004</v>
      </c>
      <c r="H17" s="260">
        <f>G17*C6</f>
        <v>2524.7995250000004</v>
      </c>
      <c r="I17" s="260">
        <f>H17*24</f>
        <v>60595.188600000009</v>
      </c>
    </row>
    <row r="18" spans="2:9" x14ac:dyDescent="0.2">
      <c r="B18" s="218" t="str">
        <f t="shared" si="1"/>
        <v>Coordenador de Eventos</v>
      </c>
      <c r="C18" s="219">
        <f>'08. ass tec'!K106</f>
        <v>1666.3499999999995</v>
      </c>
      <c r="D18" s="219">
        <f t="shared" si="2"/>
        <v>1666.3499999999995</v>
      </c>
      <c r="E18" s="219">
        <f t="shared" ref="E18:E25" si="3">D18*24</f>
        <v>39992.399999999987</v>
      </c>
      <c r="F18" s="260"/>
      <c r="G18" s="219">
        <f>'08. ass tec'!K106</f>
        <v>1666.3499999999995</v>
      </c>
      <c r="H18" s="260">
        <f t="shared" ref="H18:H25" si="4">G18*C7</f>
        <v>1666.3499999999995</v>
      </c>
      <c r="I18" s="260">
        <f t="shared" ref="I18:I25" si="5">H18*24</f>
        <v>39992.399999999987</v>
      </c>
    </row>
    <row r="19" spans="2:9" x14ac:dyDescent="0.2">
      <c r="B19" s="218" t="str">
        <f t="shared" si="1"/>
        <v>Coordenador Administrativo-Financeiro</v>
      </c>
      <c r="C19" s="219">
        <f>'03. Coord adm'!K106</f>
        <v>2142.46</v>
      </c>
      <c r="D19" s="219">
        <f t="shared" si="2"/>
        <v>2142.46</v>
      </c>
      <c r="E19" s="219">
        <f t="shared" si="3"/>
        <v>51419.040000000001</v>
      </c>
      <c r="F19" s="260"/>
      <c r="G19" s="219">
        <f>'03. Coord adm'!K106</f>
        <v>2142.46</v>
      </c>
      <c r="H19" s="260">
        <f t="shared" si="4"/>
        <v>2142.46</v>
      </c>
      <c r="I19" s="260">
        <f t="shared" si="5"/>
        <v>51419.040000000001</v>
      </c>
    </row>
    <row r="20" spans="2:9" x14ac:dyDescent="0.2">
      <c r="B20" s="218" t="str">
        <f t="shared" si="1"/>
        <v>Auxiliar Administrativo</v>
      </c>
      <c r="C20" s="219">
        <v>886.34201166666753</v>
      </c>
      <c r="D20" s="219">
        <f t="shared" si="2"/>
        <v>4431.7100583333377</v>
      </c>
      <c r="E20" s="219">
        <f t="shared" si="3"/>
        <v>106361.0414000001</v>
      </c>
      <c r="F20" s="260"/>
      <c r="G20" s="219">
        <f>'04. Aux adm'!K106</f>
        <v>791.12000000000012</v>
      </c>
      <c r="H20" s="260">
        <f t="shared" si="4"/>
        <v>3955.6000000000004</v>
      </c>
      <c r="I20" s="260">
        <f t="shared" si="5"/>
        <v>94934.400000000009</v>
      </c>
    </row>
    <row r="21" spans="2:9" x14ac:dyDescent="0.2">
      <c r="B21" s="218" t="str">
        <f t="shared" si="1"/>
        <v>Supervisor de materiais</v>
      </c>
      <c r="C21" s="219">
        <f>'05. sup mat'!K106</f>
        <v>1579.0800000000008</v>
      </c>
      <c r="D21" s="219">
        <f t="shared" si="2"/>
        <v>1579.0800000000008</v>
      </c>
      <c r="E21" s="219">
        <f t="shared" si="3"/>
        <v>37897.92000000002</v>
      </c>
      <c r="F21" s="260"/>
      <c r="G21" s="219">
        <f>'05. sup mat'!K106</f>
        <v>1579.0800000000008</v>
      </c>
      <c r="H21" s="260">
        <f t="shared" si="4"/>
        <v>1579.0800000000008</v>
      </c>
      <c r="I21" s="260">
        <f t="shared" si="5"/>
        <v>37897.92000000002</v>
      </c>
    </row>
    <row r="22" spans="2:9" x14ac:dyDescent="0.2">
      <c r="B22" s="218" t="str">
        <f t="shared" si="1"/>
        <v>Coordenador Esportivo</v>
      </c>
      <c r="C22" s="219">
        <f>'06. coord esp'!K106</f>
        <v>2142.46</v>
      </c>
      <c r="D22" s="219">
        <f t="shared" si="2"/>
        <v>2142.46</v>
      </c>
      <c r="E22" s="219">
        <f t="shared" si="3"/>
        <v>51419.040000000001</v>
      </c>
      <c r="F22" s="260"/>
      <c r="G22" s="219">
        <f>'06. coord esp'!K106</f>
        <v>2142.46</v>
      </c>
      <c r="H22" s="260">
        <f t="shared" si="4"/>
        <v>2142.46</v>
      </c>
      <c r="I22" s="260">
        <f t="shared" si="5"/>
        <v>51419.040000000001</v>
      </c>
    </row>
    <row r="23" spans="2:9" x14ac:dyDescent="0.2">
      <c r="B23" s="218" t="str">
        <f t="shared" si="1"/>
        <v>Assistente de Modalidade</v>
      </c>
      <c r="C23" s="219">
        <f>'07. ass modal'!K106</f>
        <v>1317.21</v>
      </c>
      <c r="D23" s="219">
        <f t="shared" si="2"/>
        <v>23709.78</v>
      </c>
      <c r="E23" s="219">
        <f t="shared" si="3"/>
        <v>569034.72</v>
      </c>
      <c r="F23" s="260"/>
      <c r="G23" s="219">
        <f>'07. ass modal'!K106</f>
        <v>1317.21</v>
      </c>
      <c r="H23" s="260">
        <f t="shared" si="4"/>
        <v>23709.78</v>
      </c>
      <c r="I23" s="260">
        <f t="shared" si="5"/>
        <v>569034.72</v>
      </c>
    </row>
    <row r="24" spans="2:9" x14ac:dyDescent="0.2">
      <c r="B24" s="218" t="str">
        <f t="shared" si="1"/>
        <v>Assessor Técnico</v>
      </c>
      <c r="C24" s="219">
        <f>'08. ass tec'!K106</f>
        <v>1666.3499999999995</v>
      </c>
      <c r="D24" s="219">
        <f t="shared" si="2"/>
        <v>16663.499999999993</v>
      </c>
      <c r="E24" s="219">
        <f t="shared" si="3"/>
        <v>399923.99999999983</v>
      </c>
      <c r="F24" s="260"/>
      <c r="G24" s="219">
        <f>'08. ass tec'!K106</f>
        <v>1666.3499999999995</v>
      </c>
      <c r="H24" s="260">
        <f t="shared" si="4"/>
        <v>16663.499999999993</v>
      </c>
      <c r="I24" s="260">
        <f t="shared" si="5"/>
        <v>399923.99999999983</v>
      </c>
    </row>
    <row r="25" spans="2:9" x14ac:dyDescent="0.2">
      <c r="B25" s="218" t="str">
        <f t="shared" si="1"/>
        <v>Fisioterapeuta</v>
      </c>
      <c r="C25" s="219">
        <f>'09. fisio'!K106</f>
        <v>1515.5900000000001</v>
      </c>
      <c r="D25" s="219">
        <f t="shared" si="2"/>
        <v>7577.9500000000007</v>
      </c>
      <c r="E25" s="219">
        <f t="shared" si="3"/>
        <v>181870.80000000002</v>
      </c>
      <c r="F25" s="260"/>
      <c r="G25" s="219">
        <f>'09. fisio'!K106</f>
        <v>1515.5900000000001</v>
      </c>
      <c r="H25" s="260">
        <f t="shared" si="4"/>
        <v>7577.9500000000007</v>
      </c>
      <c r="I25" s="260">
        <f t="shared" si="5"/>
        <v>181870.80000000002</v>
      </c>
    </row>
    <row r="26" spans="2:9" x14ac:dyDescent="0.2">
      <c r="B26" s="108"/>
      <c r="C26" s="220" t="s">
        <v>175</v>
      </c>
      <c r="D26" s="221">
        <f>SUM(D17:D25)</f>
        <v>62438.089583333334</v>
      </c>
      <c r="E26" s="221">
        <f>SUM(E17:E25)</f>
        <v>1498514.15</v>
      </c>
      <c r="G26" s="5"/>
    </row>
    <row r="27" spans="2:9" x14ac:dyDescent="0.2">
      <c r="I27" s="261">
        <f>SUM(I17:I25)</f>
        <v>1487087.5085999998</v>
      </c>
    </row>
    <row r="28" spans="2:9" x14ac:dyDescent="0.2">
      <c r="I28" s="261"/>
    </row>
    <row r="29" spans="2:9" x14ac:dyDescent="0.2">
      <c r="I29" s="260">
        <f>E31-E26</f>
        <v>-1.4000004157423973E-3</v>
      </c>
    </row>
    <row r="30" spans="2:9" x14ac:dyDescent="0.2">
      <c r="I30" s="262">
        <v>59324.33</v>
      </c>
    </row>
    <row r="31" spans="2:9" x14ac:dyDescent="0.2">
      <c r="E31" s="5">
        <f>GERAL!J5-GERAL!G5</f>
        <v>1498514.1485999995</v>
      </c>
    </row>
  </sheetData>
  <mergeCells count="1">
    <mergeCell ref="B3:I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8E22-4ECD-4F5A-96EF-0F7CA5F0A977}">
  <sheetPr>
    <pageSetUpPr fitToPage="1"/>
  </sheetPr>
  <dimension ref="A2:L111"/>
  <sheetViews>
    <sheetView topLeftCell="B85" zoomScaleNormal="100" workbookViewId="0">
      <selection activeCell="I107" sqref="I107"/>
    </sheetView>
  </sheetViews>
  <sheetFormatPr defaultColWidth="9.140625" defaultRowHeight="15" x14ac:dyDescent="0.25"/>
  <cols>
    <col min="1" max="1" width="7.7109375" style="36" bestFit="1" customWidth="1"/>
    <col min="2" max="2" width="12" style="36" bestFit="1" customWidth="1"/>
    <col min="3" max="3" width="29" style="36" customWidth="1"/>
    <col min="4" max="4" width="9.140625" style="36"/>
    <col min="5" max="5" width="14.28515625" style="36" bestFit="1" customWidth="1"/>
    <col min="6" max="7" width="9.140625" style="36"/>
    <col min="8" max="8" width="14.42578125" style="90" customWidth="1"/>
    <col min="9" max="9" width="12.28515625" style="38" bestFit="1" customWidth="1"/>
    <col min="10" max="10" width="9.140625" style="35"/>
    <col min="11" max="11" width="12.7109375" style="35" bestFit="1" customWidth="1"/>
    <col min="12" max="16384" width="9.140625" style="35"/>
  </cols>
  <sheetData>
    <row r="2" spans="1:12" x14ac:dyDescent="0.25">
      <c r="A2" s="297" t="s">
        <v>56</v>
      </c>
      <c r="B2" s="297"/>
      <c r="C2" s="297"/>
      <c r="D2" s="297"/>
      <c r="E2" s="297"/>
      <c r="F2" s="297"/>
      <c r="G2" s="297"/>
      <c r="H2" s="297"/>
      <c r="I2" s="297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172">
        <f>Salários!D10</f>
        <v>6200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6200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516.46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688.82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1205.2800000000002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592.41999999999996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592.41999999999996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1205.2800000000002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592.41999999999996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1797.7000000000003</v>
      </c>
    </row>
    <row r="45" spans="1:9" x14ac:dyDescent="0.25">
      <c r="A45" s="305"/>
      <c r="B45" s="305"/>
      <c r="C45" s="305"/>
      <c r="D45" s="305"/>
      <c r="E45" s="305"/>
      <c r="F45" s="305"/>
      <c r="G45" s="305"/>
      <c r="H45" s="305"/>
      <c r="I45" s="30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11.78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9.92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3.1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2.48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0.62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1.24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29.14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516.66999999999996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14.88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1.86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9.92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3.1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546.42999999999995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546.42999999999995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546.42999999999995</v>
      </c>
    </row>
    <row r="75" spans="1:9" x14ac:dyDescent="0.25">
      <c r="A75" s="305"/>
      <c r="B75" s="305"/>
      <c r="C75" s="305"/>
      <c r="D75" s="305"/>
      <c r="E75" s="305"/>
      <c r="F75" s="305"/>
      <c r="G75" s="305"/>
      <c r="H75" s="305"/>
      <c r="I75" s="30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05"/>
      <c r="B83" s="305"/>
      <c r="C83" s="305"/>
      <c r="D83" s="305"/>
      <c r="E83" s="305"/>
      <c r="F83" s="305"/>
      <c r="G83" s="305"/>
      <c r="H83" s="305"/>
      <c r="I83" s="30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7.4999999999999997E-3</v>
      </c>
      <c r="I86" s="46">
        <f>H86*I107</f>
        <v>64.299525000000003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87.23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151.52952500000001</v>
      </c>
    </row>
    <row r="93" spans="1:12" x14ac:dyDescent="0.25">
      <c r="A93" s="73"/>
      <c r="B93" s="305"/>
      <c r="C93" s="305"/>
      <c r="D93" s="305"/>
      <c r="E93" s="305"/>
      <c r="F93" s="305"/>
      <c r="G93" s="305"/>
      <c r="H93" s="305"/>
      <c r="I93" s="30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8637.56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8724.7999999999993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87.23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6200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1797.7000000000003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29.14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546.42999999999995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I109-(I5+I33)</f>
        <v>2524.7995250000004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8573.27</v>
      </c>
      <c r="K107" s="165">
        <f>I109-I102</f>
        <v>2524.7995250000004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151.52952500000001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8724.7995250000004</v>
      </c>
    </row>
    <row r="110" spans="1:11" x14ac:dyDescent="0.25">
      <c r="H110" s="37"/>
      <c r="I110" s="85"/>
    </row>
    <row r="111" spans="1:11" x14ac:dyDescent="0.25">
      <c r="A111" s="56" t="s">
        <v>160</v>
      </c>
      <c r="B111" s="86">
        <f>I109/I102</f>
        <v>1.4072257298387096</v>
      </c>
      <c r="D111" s="87"/>
      <c r="E111" s="87"/>
      <c r="F111" s="87"/>
      <c r="G111" s="87"/>
      <c r="H111" s="88"/>
      <c r="I111" s="89"/>
    </row>
  </sheetData>
  <mergeCells count="105">
    <mergeCell ref="B105:H105"/>
    <mergeCell ref="B106:H106"/>
    <mergeCell ref="B107:H107"/>
    <mergeCell ref="B108:H108"/>
    <mergeCell ref="A109:H109"/>
    <mergeCell ref="B98:G98"/>
    <mergeCell ref="A100:I100"/>
    <mergeCell ref="A101:H101"/>
    <mergeCell ref="B102:H102"/>
    <mergeCell ref="B103:H103"/>
    <mergeCell ref="B104:H104"/>
    <mergeCell ref="A92:G92"/>
    <mergeCell ref="B93:I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A82:G82"/>
    <mergeCell ref="A83:I83"/>
    <mergeCell ref="A84:I84"/>
    <mergeCell ref="B85:G85"/>
    <mergeCell ref="A74:H74"/>
    <mergeCell ref="A75:I75"/>
    <mergeCell ref="A76:I76"/>
    <mergeCell ref="B77:G77"/>
    <mergeCell ref="B78:G78"/>
    <mergeCell ref="B79:G79"/>
    <mergeCell ref="A68:G68"/>
    <mergeCell ref="A69:I69"/>
    <mergeCell ref="A70:I70"/>
    <mergeCell ref="A71:H71"/>
    <mergeCell ref="B72:H72"/>
    <mergeCell ref="B73:H73"/>
    <mergeCell ref="B62:G62"/>
    <mergeCell ref="B63:G63"/>
    <mergeCell ref="A64:G64"/>
    <mergeCell ref="A65:I65"/>
    <mergeCell ref="A66:G66"/>
    <mergeCell ref="B67:G67"/>
    <mergeCell ref="A56:I56"/>
    <mergeCell ref="A57:G57"/>
    <mergeCell ref="B58:G58"/>
    <mergeCell ref="B59:G59"/>
    <mergeCell ref="B60:G60"/>
    <mergeCell ref="B61:G61"/>
    <mergeCell ref="B50:G50"/>
    <mergeCell ref="B51:G51"/>
    <mergeCell ref="B52:G52"/>
    <mergeCell ref="B53:G53"/>
    <mergeCell ref="A54:G54"/>
    <mergeCell ref="A55:I55"/>
    <mergeCell ref="A44:H44"/>
    <mergeCell ref="A45:I45"/>
    <mergeCell ref="A46:I46"/>
    <mergeCell ref="B47:G47"/>
    <mergeCell ref="B48:G48"/>
    <mergeCell ref="B49:G49"/>
    <mergeCell ref="A38:I38"/>
    <mergeCell ref="A39:I39"/>
    <mergeCell ref="A40:H40"/>
    <mergeCell ref="B41:H41"/>
    <mergeCell ref="B42:H42"/>
    <mergeCell ref="B43:H43"/>
    <mergeCell ref="B33:G33"/>
    <mergeCell ref="B34:G34"/>
    <mergeCell ref="B35:G35"/>
    <mergeCell ref="B36:G36"/>
    <mergeCell ref="A37:H37"/>
    <mergeCell ref="B27:G27"/>
    <mergeCell ref="B28:G28"/>
    <mergeCell ref="A29:G29"/>
    <mergeCell ref="A30:I30"/>
    <mergeCell ref="A31:G31"/>
    <mergeCell ref="B32:G32"/>
    <mergeCell ref="B21:G21"/>
    <mergeCell ref="B22:G22"/>
    <mergeCell ref="B23:G23"/>
    <mergeCell ref="B24:G24"/>
    <mergeCell ref="B25:G25"/>
    <mergeCell ref="B26:G26"/>
    <mergeCell ref="A14:I14"/>
    <mergeCell ref="A15:G15"/>
    <mergeCell ref="B16:G16"/>
    <mergeCell ref="B17:G17"/>
    <mergeCell ref="A18:G18"/>
    <mergeCell ref="A20:G20"/>
    <mergeCell ref="B7:G7"/>
    <mergeCell ref="B8:G8"/>
    <mergeCell ref="B9:G9"/>
    <mergeCell ref="B10:G10"/>
    <mergeCell ref="B11:G11"/>
    <mergeCell ref="A12:H12"/>
    <mergeCell ref="A2:I2"/>
    <mergeCell ref="A3:I3"/>
    <mergeCell ref="B4:G4"/>
    <mergeCell ref="B5:G5"/>
    <mergeCell ref="B6:G6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EDF3-8E22-4DC3-B495-9A94468F5102}">
  <sheetPr>
    <pageSetUpPr fitToPage="1"/>
  </sheetPr>
  <dimension ref="A2:L111"/>
  <sheetViews>
    <sheetView topLeftCell="A97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Salários!D11</f>
        <v>5400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5400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449.82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599.94000000000005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1049.76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515.98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515.98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1049.76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515.98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1565.74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10.26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8.64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2.7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2.16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0.54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1.08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25.379999999999995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450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12.96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1.62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8.64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2.7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475.91999999999996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475.91999999999996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475.91999999999996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75.42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75.42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7467.04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7542.46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75.42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5400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1565.74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25.379999999999995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475.91999999999996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2142.46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7467.04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75.42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7542.46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1.3967518518518518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6DAA-97B9-446C-9B5B-9A8D24BB0458}">
  <sheetPr>
    <pageSetUpPr fitToPage="1"/>
  </sheetPr>
  <dimension ref="A2:L111"/>
  <sheetViews>
    <sheetView topLeftCell="A93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Salários!D12</f>
        <v>5400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5400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449.82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599.94000000000005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1049.76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515.98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515.98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1049.76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515.98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1565.74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10.26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8.64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2.7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2.16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0.54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1.08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25.379999999999995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450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12.96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1.62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8.64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2.7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475.91999999999996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475.91999999999996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475.91999999999996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74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75.42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75.42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7467.04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7542.46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75.42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5400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1565.74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25.379999999999995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475.91999999999996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2142.46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7467.04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75.42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7542.46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1.3967518518518518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F0B-484E-4DB4-8E2D-A6BE6B789B47}">
  <sheetPr>
    <pageSetUpPr fitToPage="1"/>
  </sheetPr>
  <dimension ref="A2:L111"/>
  <sheetViews>
    <sheetView topLeftCell="A91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v>1993.97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1993.97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166.1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221.53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387.63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190.53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190.53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387.63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190.53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578.16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3.79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3.19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1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0.8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0.2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0.4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9.3800000000000008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166.16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4.79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0.6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3.19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1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175.73999999999998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175.73999999999998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175.73999999999998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74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27.84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27.84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2757.25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2785.1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27.84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1993.97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578.16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9.3800000000000008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175.73999999999998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791.12000000000012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2757.25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27.84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2785.09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1.3967562200033101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E967-CD38-4EAB-A210-6D9437D27310}">
  <sheetPr>
    <pageSetUpPr fitToPage="1"/>
  </sheetPr>
  <dimension ref="A2:N111"/>
  <sheetViews>
    <sheetView topLeftCell="A98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3" width="9.140625" style="35"/>
    <col min="14" max="14" width="10.140625" style="35" bestFit="1" customWidth="1"/>
    <col min="15" max="16384" width="9.140625" style="35"/>
  </cols>
  <sheetData>
    <row r="2" spans="1:14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4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4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4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Salários!D14</f>
        <v>3980</v>
      </c>
    </row>
    <row r="6" spans="1:14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4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4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4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4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4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4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3980</v>
      </c>
    </row>
    <row r="13" spans="1:14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4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4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  <c r="N15" s="107">
        <f>I5/4.5</f>
        <v>884.44444444444446</v>
      </c>
    </row>
    <row r="16" spans="1:14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331.53</v>
      </c>
      <c r="N16" s="35">
        <f>N15/20</f>
        <v>44.222222222222221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442.18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773.71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380.3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380.3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773.71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380.3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1154.01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7.56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6.37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1.99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1.59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0.4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0.8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18.71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331.67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9.5500000000000007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1.19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6.37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1.99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350.77000000000004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350.77000000000004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350.77000000000004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74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55.59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55.59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5503.49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5559.08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55.59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3980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1154.01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18.71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350.77000000000004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1579.0800000000008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5503.4900000000007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55.59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5559.0800000000008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1.3967537688442213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A42A-271F-42E7-AAC7-0946CFCA9754}">
  <sheetPr>
    <pageSetUpPr fitToPage="1"/>
  </sheetPr>
  <dimension ref="A2:L111"/>
  <sheetViews>
    <sheetView topLeftCell="A100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Salários!D15</f>
        <v>5400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5400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449.82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599.94000000000005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1049.76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515.98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515.98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>
        <v>0</v>
      </c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1049.76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515.98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1565.74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10.26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8.64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2.7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2.16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0.54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1.08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25.379999999999995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450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12.96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1.62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8.64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2.7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475.91999999999996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475.91999999999996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475.91999999999996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75.42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75.42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7467.04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7542.46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75.42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5400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1565.74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25.379999999999995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475.91999999999996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2142.46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7467.04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75.42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7542.46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1.3967518518518518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4AA4-86EA-4039-B119-216DB3A5B529}">
  <sheetPr>
    <pageSetUpPr fitToPage="1"/>
  </sheetPr>
  <dimension ref="A2:L111"/>
  <sheetViews>
    <sheetView topLeftCell="A93" workbookViewId="0">
      <selection activeCell="K107" sqref="K107"/>
    </sheetView>
  </sheetViews>
  <sheetFormatPr defaultColWidth="9.140625" defaultRowHeight="15" x14ac:dyDescent="0.25"/>
  <cols>
    <col min="1" max="1" width="12.140625" style="35" bestFit="1" customWidth="1"/>
    <col min="2" max="2" width="9.140625" style="35"/>
    <col min="3" max="3" width="29" style="35" customWidth="1"/>
    <col min="4" max="4" width="9.140625" style="35"/>
    <col min="5" max="5" width="14.28515625" style="35" bestFit="1" customWidth="1"/>
    <col min="6" max="7" width="9.140625" style="35"/>
    <col min="8" max="8" width="14.42578125" style="90" customWidth="1"/>
    <col min="9" max="9" width="17.5703125" style="38" customWidth="1"/>
    <col min="10" max="10" width="9.140625" style="35"/>
    <col min="11" max="11" width="12.140625" style="35" bestFit="1" customWidth="1"/>
    <col min="12" max="16384" width="9.140625" style="35"/>
  </cols>
  <sheetData>
    <row r="2" spans="1:12" x14ac:dyDescent="0.25">
      <c r="A2" s="314" t="s">
        <v>162</v>
      </c>
      <c r="B2" s="314"/>
      <c r="C2" s="314"/>
      <c r="D2" s="314"/>
      <c r="E2" s="314"/>
      <c r="F2" s="314"/>
      <c r="G2" s="314"/>
      <c r="H2" s="314"/>
      <c r="I2" s="314"/>
    </row>
    <row r="3" spans="1:12" x14ac:dyDescent="0.25">
      <c r="A3" s="298" t="s">
        <v>57</v>
      </c>
      <c r="B3" s="294"/>
      <c r="C3" s="294"/>
      <c r="D3" s="294"/>
      <c r="E3" s="294"/>
      <c r="F3" s="294"/>
      <c r="G3" s="294"/>
      <c r="H3" s="294"/>
      <c r="I3" s="295"/>
    </row>
    <row r="4" spans="1:12" x14ac:dyDescent="0.25">
      <c r="A4" s="39">
        <v>1</v>
      </c>
      <c r="B4" s="296" t="s">
        <v>58</v>
      </c>
      <c r="C4" s="294"/>
      <c r="D4" s="294"/>
      <c r="E4" s="294"/>
      <c r="F4" s="294"/>
      <c r="G4" s="295"/>
      <c r="H4" s="40" t="s">
        <v>59</v>
      </c>
      <c r="I4" s="41" t="s">
        <v>60</v>
      </c>
    </row>
    <row r="5" spans="1:12" x14ac:dyDescent="0.25">
      <c r="A5" s="39" t="s">
        <v>61</v>
      </c>
      <c r="B5" s="293" t="s">
        <v>62</v>
      </c>
      <c r="C5" s="294"/>
      <c r="D5" s="294"/>
      <c r="E5" s="294"/>
      <c r="F5" s="294"/>
      <c r="G5" s="295"/>
      <c r="H5" s="42"/>
      <c r="I5" s="43">
        <f>Salários!D16</f>
        <v>3320</v>
      </c>
    </row>
    <row r="6" spans="1:12" x14ac:dyDescent="0.25">
      <c r="A6" s="39" t="s">
        <v>63</v>
      </c>
      <c r="B6" s="293" t="s">
        <v>64</v>
      </c>
      <c r="C6" s="294"/>
      <c r="D6" s="294"/>
      <c r="E6" s="294"/>
      <c r="F6" s="294"/>
      <c r="G6" s="295"/>
      <c r="H6" s="44"/>
      <c r="I6" s="45" t="s">
        <v>19</v>
      </c>
    </row>
    <row r="7" spans="1:12" x14ac:dyDescent="0.25">
      <c r="A7" s="39" t="s">
        <v>65</v>
      </c>
      <c r="B7" s="293" t="s">
        <v>66</v>
      </c>
      <c r="C7" s="294"/>
      <c r="D7" s="294"/>
      <c r="E7" s="294"/>
      <c r="F7" s="294"/>
      <c r="G7" s="295"/>
      <c r="H7" s="44"/>
      <c r="I7" s="46" t="s">
        <v>19</v>
      </c>
    </row>
    <row r="8" spans="1:12" x14ac:dyDescent="0.25">
      <c r="A8" s="39" t="s">
        <v>67</v>
      </c>
      <c r="B8" s="293" t="s">
        <v>68</v>
      </c>
      <c r="C8" s="294"/>
      <c r="D8" s="294"/>
      <c r="E8" s="294"/>
      <c r="F8" s="294"/>
      <c r="G8" s="295"/>
      <c r="H8" s="44"/>
      <c r="I8" s="46" t="s">
        <v>19</v>
      </c>
    </row>
    <row r="9" spans="1:12" x14ac:dyDescent="0.25">
      <c r="A9" s="39" t="s">
        <v>69</v>
      </c>
      <c r="B9" s="293" t="s">
        <v>70</v>
      </c>
      <c r="C9" s="294"/>
      <c r="D9" s="294"/>
      <c r="E9" s="294"/>
      <c r="F9" s="294"/>
      <c r="G9" s="295"/>
      <c r="H9" s="44"/>
      <c r="I9" s="46" t="s">
        <v>19</v>
      </c>
    </row>
    <row r="10" spans="1:12" x14ac:dyDescent="0.25">
      <c r="A10" s="39" t="s">
        <v>71</v>
      </c>
      <c r="B10" s="293" t="s">
        <v>72</v>
      </c>
      <c r="C10" s="294"/>
      <c r="D10" s="294"/>
      <c r="E10" s="294"/>
      <c r="F10" s="294"/>
      <c r="G10" s="295"/>
      <c r="H10" s="44"/>
      <c r="I10" s="46" t="s">
        <v>19</v>
      </c>
    </row>
    <row r="11" spans="1:12" x14ac:dyDescent="0.25">
      <c r="A11" s="39" t="s">
        <v>73</v>
      </c>
      <c r="B11" s="293" t="s">
        <v>74</v>
      </c>
      <c r="C11" s="294"/>
      <c r="D11" s="294"/>
      <c r="E11" s="294"/>
      <c r="F11" s="294"/>
      <c r="G11" s="295"/>
      <c r="H11" s="47"/>
      <c r="I11" s="46">
        <f>ROUND(H11*I5,2)</f>
        <v>0</v>
      </c>
      <c r="L11" s="48">
        <f>H18+H29+H54+H64+H89</f>
        <v>0.37723333333333336</v>
      </c>
    </row>
    <row r="12" spans="1:12" x14ac:dyDescent="0.25">
      <c r="A12" s="296" t="s">
        <v>75</v>
      </c>
      <c r="B12" s="294"/>
      <c r="C12" s="294"/>
      <c r="D12" s="294"/>
      <c r="E12" s="294"/>
      <c r="F12" s="294"/>
      <c r="G12" s="294"/>
      <c r="H12" s="295"/>
      <c r="I12" s="49">
        <f>SUM(I5:I11)</f>
        <v>3320</v>
      </c>
    </row>
    <row r="13" spans="1:12" x14ac:dyDescent="0.25">
      <c r="A13" s="50"/>
      <c r="B13" s="50"/>
      <c r="C13" s="50"/>
      <c r="D13" s="50"/>
      <c r="E13" s="50"/>
      <c r="F13" s="50"/>
      <c r="G13" s="50"/>
      <c r="H13" s="51"/>
      <c r="I13" s="52"/>
    </row>
    <row r="14" spans="1:12" x14ac:dyDescent="0.25">
      <c r="A14" s="298" t="s">
        <v>76</v>
      </c>
      <c r="B14" s="294"/>
      <c r="C14" s="294"/>
      <c r="D14" s="294"/>
      <c r="E14" s="294"/>
      <c r="F14" s="294"/>
      <c r="G14" s="294"/>
      <c r="H14" s="294"/>
      <c r="I14" s="295"/>
    </row>
    <row r="15" spans="1:12" x14ac:dyDescent="0.25">
      <c r="A15" s="296" t="s">
        <v>77</v>
      </c>
      <c r="B15" s="294"/>
      <c r="C15" s="294"/>
      <c r="D15" s="294"/>
      <c r="E15" s="294"/>
      <c r="F15" s="294"/>
      <c r="G15" s="295"/>
      <c r="H15" s="40" t="s">
        <v>59</v>
      </c>
      <c r="I15" s="53" t="s">
        <v>60</v>
      </c>
    </row>
    <row r="16" spans="1:12" x14ac:dyDescent="0.25">
      <c r="A16" s="39" t="s">
        <v>61</v>
      </c>
      <c r="B16" s="293" t="s">
        <v>78</v>
      </c>
      <c r="C16" s="294"/>
      <c r="D16" s="294"/>
      <c r="E16" s="294"/>
      <c r="F16" s="294"/>
      <c r="G16" s="295"/>
      <c r="H16" s="44">
        <v>8.3299999999999999E-2</v>
      </c>
      <c r="I16" s="54">
        <f>ROUND($I$12*H16,2)</f>
        <v>276.56</v>
      </c>
    </row>
    <row r="17" spans="1:9" x14ac:dyDescent="0.25">
      <c r="A17" s="39" t="s">
        <v>63</v>
      </c>
      <c r="B17" s="293" t="s">
        <v>79</v>
      </c>
      <c r="C17" s="294"/>
      <c r="D17" s="294"/>
      <c r="E17" s="294"/>
      <c r="F17" s="294"/>
      <c r="G17" s="295"/>
      <c r="H17" s="55">
        <v>0.1111</v>
      </c>
      <c r="I17" s="54">
        <f>ROUND($I$12*H17,2)</f>
        <v>368.85</v>
      </c>
    </row>
    <row r="18" spans="1:9" x14ac:dyDescent="0.25">
      <c r="A18" s="296" t="s">
        <v>80</v>
      </c>
      <c r="B18" s="294"/>
      <c r="C18" s="294"/>
      <c r="D18" s="294"/>
      <c r="E18" s="294"/>
      <c r="F18" s="294"/>
      <c r="G18" s="295"/>
      <c r="H18" s="40">
        <f>SUM(H16:H17)</f>
        <v>0.19440000000000002</v>
      </c>
      <c r="I18" s="49">
        <f>SUM(I16:I17)</f>
        <v>645.41000000000008</v>
      </c>
    </row>
    <row r="19" spans="1:9" x14ac:dyDescent="0.25">
      <c r="A19" s="56"/>
      <c r="B19" s="57"/>
      <c r="C19" s="58"/>
      <c r="D19" s="58"/>
      <c r="E19" s="58"/>
      <c r="F19" s="58"/>
      <c r="G19" s="58"/>
      <c r="H19" s="59"/>
      <c r="I19" s="60"/>
    </row>
    <row r="20" spans="1:9" x14ac:dyDescent="0.25">
      <c r="A20" s="296" t="s">
        <v>81</v>
      </c>
      <c r="B20" s="294"/>
      <c r="C20" s="294"/>
      <c r="D20" s="294"/>
      <c r="E20" s="294"/>
      <c r="F20" s="294"/>
      <c r="G20" s="295"/>
      <c r="H20" s="40" t="s">
        <v>59</v>
      </c>
      <c r="I20" s="53" t="s">
        <v>60</v>
      </c>
    </row>
    <row r="21" spans="1:9" x14ac:dyDescent="0.25">
      <c r="A21" s="39" t="s">
        <v>61</v>
      </c>
      <c r="B21" s="293" t="s">
        <v>82</v>
      </c>
      <c r="C21" s="294"/>
      <c r="D21" s="294"/>
      <c r="E21" s="294"/>
      <c r="F21" s="294"/>
      <c r="G21" s="295"/>
      <c r="H21" s="44">
        <v>0</v>
      </c>
      <c r="I21" s="54">
        <f t="shared" ref="I21:I28" si="0">ROUND(($I$12+$I$18)*H21,2)</f>
        <v>0</v>
      </c>
    </row>
    <row r="22" spans="1:9" x14ac:dyDescent="0.25">
      <c r="A22" s="39" t="s">
        <v>63</v>
      </c>
      <c r="B22" s="293" t="s">
        <v>83</v>
      </c>
      <c r="C22" s="294"/>
      <c r="D22" s="294"/>
      <c r="E22" s="294"/>
      <c r="F22" s="294"/>
      <c r="G22" s="295"/>
      <c r="H22" s="44">
        <v>0</v>
      </c>
      <c r="I22" s="54">
        <f t="shared" si="0"/>
        <v>0</v>
      </c>
    </row>
    <row r="23" spans="1:9" x14ac:dyDescent="0.25">
      <c r="A23" s="39" t="s">
        <v>65</v>
      </c>
      <c r="B23" s="299" t="s">
        <v>84</v>
      </c>
      <c r="C23" s="294"/>
      <c r="D23" s="294"/>
      <c r="E23" s="294"/>
      <c r="F23" s="294"/>
      <c r="G23" s="295"/>
      <c r="H23" s="55">
        <v>0</v>
      </c>
      <c r="I23" s="54">
        <f t="shared" si="0"/>
        <v>0</v>
      </c>
    </row>
    <row r="24" spans="1:9" x14ac:dyDescent="0.25">
      <c r="A24" s="39" t="s">
        <v>67</v>
      </c>
      <c r="B24" s="299" t="s">
        <v>85</v>
      </c>
      <c r="C24" s="294"/>
      <c r="D24" s="294"/>
      <c r="E24" s="294"/>
      <c r="F24" s="294"/>
      <c r="G24" s="295"/>
      <c r="H24" s="55">
        <v>0</v>
      </c>
      <c r="I24" s="54">
        <f t="shared" si="0"/>
        <v>0</v>
      </c>
    </row>
    <row r="25" spans="1:9" x14ac:dyDescent="0.25">
      <c r="A25" s="39" t="s">
        <v>69</v>
      </c>
      <c r="B25" s="299" t="s">
        <v>86</v>
      </c>
      <c r="C25" s="294"/>
      <c r="D25" s="294"/>
      <c r="E25" s="294"/>
      <c r="F25" s="294"/>
      <c r="G25" s="295"/>
      <c r="H25" s="55">
        <v>0</v>
      </c>
      <c r="I25" s="54">
        <f t="shared" si="0"/>
        <v>0</v>
      </c>
    </row>
    <row r="26" spans="1:9" x14ac:dyDescent="0.25">
      <c r="A26" s="39" t="s">
        <v>71</v>
      </c>
      <c r="B26" s="299" t="s">
        <v>87</v>
      </c>
      <c r="C26" s="294"/>
      <c r="D26" s="294"/>
      <c r="E26" s="294"/>
      <c r="F26" s="294"/>
      <c r="G26" s="295"/>
      <c r="H26" s="55">
        <v>0</v>
      </c>
      <c r="I26" s="54">
        <f t="shared" si="0"/>
        <v>0</v>
      </c>
    </row>
    <row r="27" spans="1:9" x14ac:dyDescent="0.25">
      <c r="A27" s="39" t="s">
        <v>73</v>
      </c>
      <c r="B27" s="299" t="s">
        <v>88</v>
      </c>
      <c r="C27" s="294"/>
      <c r="D27" s="294"/>
      <c r="E27" s="294"/>
      <c r="F27" s="294"/>
      <c r="G27" s="295"/>
      <c r="H27" s="55">
        <v>0</v>
      </c>
      <c r="I27" s="54">
        <f t="shared" si="0"/>
        <v>0</v>
      </c>
    </row>
    <row r="28" spans="1:9" x14ac:dyDescent="0.25">
      <c r="A28" s="39" t="s">
        <v>89</v>
      </c>
      <c r="B28" s="293" t="s">
        <v>90</v>
      </c>
      <c r="C28" s="294"/>
      <c r="D28" s="294"/>
      <c r="E28" s="294"/>
      <c r="F28" s="294"/>
      <c r="G28" s="295"/>
      <c r="H28" s="44">
        <v>0.08</v>
      </c>
      <c r="I28" s="54">
        <f t="shared" si="0"/>
        <v>317.23</v>
      </c>
    </row>
    <row r="29" spans="1:9" x14ac:dyDescent="0.25">
      <c r="A29" s="296" t="s">
        <v>91</v>
      </c>
      <c r="B29" s="294"/>
      <c r="C29" s="294"/>
      <c r="D29" s="294"/>
      <c r="E29" s="294"/>
      <c r="F29" s="294"/>
      <c r="G29" s="295"/>
      <c r="H29" s="40">
        <f>SUM(H21:H28)</f>
        <v>0.08</v>
      </c>
      <c r="I29" s="49">
        <f>SUM(I21:I28)</f>
        <v>317.23</v>
      </c>
    </row>
    <row r="30" spans="1:9" x14ac:dyDescent="0.25">
      <c r="A30" s="302"/>
      <c r="B30" s="303"/>
      <c r="C30" s="303"/>
      <c r="D30" s="303"/>
      <c r="E30" s="303"/>
      <c r="F30" s="303"/>
      <c r="G30" s="303"/>
      <c r="H30" s="303"/>
      <c r="I30" s="304"/>
    </row>
    <row r="31" spans="1:9" x14ac:dyDescent="0.25">
      <c r="A31" s="296" t="s">
        <v>92</v>
      </c>
      <c r="B31" s="294"/>
      <c r="C31" s="294"/>
      <c r="D31" s="294"/>
      <c r="E31" s="294"/>
      <c r="F31" s="294"/>
      <c r="G31" s="295"/>
      <c r="H31" s="40" t="s">
        <v>93</v>
      </c>
      <c r="I31" s="53" t="s">
        <v>60</v>
      </c>
    </row>
    <row r="32" spans="1:9" x14ac:dyDescent="0.25">
      <c r="A32" s="39" t="s">
        <v>61</v>
      </c>
      <c r="B32" s="300" t="s">
        <v>94</v>
      </c>
      <c r="C32" s="294"/>
      <c r="D32" s="294"/>
      <c r="E32" s="294"/>
      <c r="F32" s="294"/>
      <c r="G32" s="295"/>
      <c r="H32" s="44"/>
      <c r="I32" s="61">
        <v>0</v>
      </c>
    </row>
    <row r="33" spans="1:9" x14ac:dyDescent="0.25">
      <c r="A33" s="39" t="s">
        <v>63</v>
      </c>
      <c r="B33" s="300" t="s">
        <v>95</v>
      </c>
      <c r="C33" s="294"/>
      <c r="D33" s="294"/>
      <c r="E33" s="294"/>
      <c r="F33" s="294"/>
      <c r="G33" s="295"/>
      <c r="H33" s="44"/>
      <c r="I33" s="61">
        <v>0</v>
      </c>
    </row>
    <row r="34" spans="1:9" x14ac:dyDescent="0.25">
      <c r="A34" s="39" t="s">
        <v>65</v>
      </c>
      <c r="B34" s="300" t="s">
        <v>96</v>
      </c>
      <c r="C34" s="294"/>
      <c r="D34" s="294"/>
      <c r="E34" s="294"/>
      <c r="F34" s="294"/>
      <c r="G34" s="295"/>
      <c r="H34" s="44"/>
      <c r="I34" s="61">
        <v>0</v>
      </c>
    </row>
    <row r="35" spans="1:9" x14ac:dyDescent="0.25">
      <c r="A35" s="39" t="s">
        <v>67</v>
      </c>
      <c r="B35" s="301" t="s">
        <v>97</v>
      </c>
      <c r="C35" s="294"/>
      <c r="D35" s="294"/>
      <c r="E35" s="294"/>
      <c r="F35" s="294"/>
      <c r="G35" s="295"/>
      <c r="H35" s="44"/>
      <c r="I35" s="61"/>
    </row>
    <row r="36" spans="1:9" x14ac:dyDescent="0.25">
      <c r="A36" s="39"/>
      <c r="B36" s="302"/>
      <c r="C36" s="303"/>
      <c r="D36" s="303"/>
      <c r="E36" s="303"/>
      <c r="F36" s="303"/>
      <c r="G36" s="304"/>
      <c r="H36" s="44"/>
      <c r="I36" s="61">
        <v>0</v>
      </c>
    </row>
    <row r="37" spans="1:9" x14ac:dyDescent="0.25">
      <c r="A37" s="296" t="s">
        <v>98</v>
      </c>
      <c r="B37" s="294"/>
      <c r="C37" s="294"/>
      <c r="D37" s="294"/>
      <c r="E37" s="294"/>
      <c r="F37" s="294"/>
      <c r="G37" s="294"/>
      <c r="H37" s="295"/>
      <c r="I37" s="62">
        <f>SUM(I32:I36)</f>
        <v>0</v>
      </c>
    </row>
    <row r="38" spans="1:9" x14ac:dyDescent="0.25">
      <c r="A38" s="302"/>
      <c r="B38" s="303"/>
      <c r="C38" s="303"/>
      <c r="D38" s="303"/>
      <c r="E38" s="303"/>
      <c r="F38" s="303"/>
      <c r="G38" s="303"/>
      <c r="H38" s="303"/>
      <c r="I38" s="304"/>
    </row>
    <row r="39" spans="1:9" x14ac:dyDescent="0.25">
      <c r="A39" s="306" t="s">
        <v>99</v>
      </c>
      <c r="B39" s="294"/>
      <c r="C39" s="294"/>
      <c r="D39" s="294"/>
      <c r="E39" s="294"/>
      <c r="F39" s="294"/>
      <c r="G39" s="294"/>
      <c r="H39" s="294"/>
      <c r="I39" s="295"/>
    </row>
    <row r="40" spans="1:9" x14ac:dyDescent="0.25">
      <c r="A40" s="296" t="s">
        <v>100</v>
      </c>
      <c r="B40" s="294"/>
      <c r="C40" s="294"/>
      <c r="D40" s="294"/>
      <c r="E40" s="294"/>
      <c r="F40" s="294"/>
      <c r="G40" s="294"/>
      <c r="H40" s="295"/>
      <c r="I40" s="53" t="s">
        <v>60</v>
      </c>
    </row>
    <row r="41" spans="1:9" x14ac:dyDescent="0.25">
      <c r="A41" s="63">
        <v>43467</v>
      </c>
      <c r="B41" s="293" t="s">
        <v>101</v>
      </c>
      <c r="C41" s="294"/>
      <c r="D41" s="294"/>
      <c r="E41" s="294"/>
      <c r="F41" s="294"/>
      <c r="G41" s="294"/>
      <c r="H41" s="295"/>
      <c r="I41" s="54">
        <f>I18</f>
        <v>645.41000000000008</v>
      </c>
    </row>
    <row r="42" spans="1:9" x14ac:dyDescent="0.25">
      <c r="A42" s="63">
        <v>43498</v>
      </c>
      <c r="B42" s="293" t="s">
        <v>102</v>
      </c>
      <c r="C42" s="294"/>
      <c r="D42" s="294"/>
      <c r="E42" s="294"/>
      <c r="F42" s="294"/>
      <c r="G42" s="294"/>
      <c r="H42" s="295"/>
      <c r="I42" s="54">
        <f>I29</f>
        <v>317.23</v>
      </c>
    </row>
    <row r="43" spans="1:9" x14ac:dyDescent="0.25">
      <c r="A43" s="63">
        <v>43526</v>
      </c>
      <c r="B43" s="293" t="s">
        <v>103</v>
      </c>
      <c r="C43" s="294"/>
      <c r="D43" s="294"/>
      <c r="E43" s="294"/>
      <c r="F43" s="294"/>
      <c r="G43" s="294"/>
      <c r="H43" s="295"/>
      <c r="I43" s="54">
        <f>I37</f>
        <v>0</v>
      </c>
    </row>
    <row r="44" spans="1:9" x14ac:dyDescent="0.25">
      <c r="A44" s="296" t="s">
        <v>104</v>
      </c>
      <c r="B44" s="294"/>
      <c r="C44" s="294"/>
      <c r="D44" s="294"/>
      <c r="E44" s="294"/>
      <c r="F44" s="294"/>
      <c r="G44" s="294"/>
      <c r="H44" s="295"/>
      <c r="I44" s="49">
        <f>SUM(I41:I43)</f>
        <v>962.6400000000001</v>
      </c>
    </row>
    <row r="45" spans="1:9" x14ac:dyDescent="0.25">
      <c r="A45" s="315"/>
      <c r="B45" s="315"/>
      <c r="C45" s="315"/>
      <c r="D45" s="315"/>
      <c r="E45" s="315"/>
      <c r="F45" s="315"/>
      <c r="G45" s="315"/>
      <c r="H45" s="315"/>
      <c r="I45" s="315"/>
    </row>
    <row r="46" spans="1:9" x14ac:dyDescent="0.25">
      <c r="A46" s="298" t="s">
        <v>105</v>
      </c>
      <c r="B46" s="294"/>
      <c r="C46" s="294"/>
      <c r="D46" s="294"/>
      <c r="E46" s="294"/>
      <c r="F46" s="294"/>
      <c r="G46" s="294"/>
      <c r="H46" s="294"/>
      <c r="I46" s="295"/>
    </row>
    <row r="47" spans="1:9" x14ac:dyDescent="0.25">
      <c r="A47" s="39">
        <v>3</v>
      </c>
      <c r="B47" s="296" t="s">
        <v>106</v>
      </c>
      <c r="C47" s="294"/>
      <c r="D47" s="294"/>
      <c r="E47" s="294"/>
      <c r="F47" s="294"/>
      <c r="G47" s="295"/>
      <c r="H47" s="40" t="s">
        <v>59</v>
      </c>
      <c r="I47" s="53" t="s">
        <v>60</v>
      </c>
    </row>
    <row r="48" spans="1:9" x14ac:dyDescent="0.25">
      <c r="A48" s="39" t="s">
        <v>61</v>
      </c>
      <c r="B48" s="299" t="s">
        <v>107</v>
      </c>
      <c r="C48" s="294"/>
      <c r="D48" s="294"/>
      <c r="E48" s="294"/>
      <c r="F48" s="294"/>
      <c r="G48" s="295"/>
      <c r="H48" s="64">
        <v>1.9E-3</v>
      </c>
      <c r="I48" s="54">
        <f t="shared" ref="I48:I53" si="1">ROUND($I$12*H48,2)</f>
        <v>6.31</v>
      </c>
    </row>
    <row r="49" spans="1:9" x14ac:dyDescent="0.25">
      <c r="A49" s="39" t="s">
        <v>63</v>
      </c>
      <c r="B49" s="299" t="s">
        <v>108</v>
      </c>
      <c r="C49" s="294"/>
      <c r="D49" s="294"/>
      <c r="E49" s="294"/>
      <c r="F49" s="294"/>
      <c r="G49" s="295"/>
      <c r="H49" s="55">
        <v>1.6000000000000001E-3</v>
      </c>
      <c r="I49" s="54">
        <f t="shared" si="1"/>
        <v>5.31</v>
      </c>
    </row>
    <row r="50" spans="1:9" x14ac:dyDescent="0.25">
      <c r="A50" s="39" t="s">
        <v>65</v>
      </c>
      <c r="B50" s="299" t="s">
        <v>109</v>
      </c>
      <c r="C50" s="294"/>
      <c r="D50" s="294"/>
      <c r="E50" s="294"/>
      <c r="F50" s="294"/>
      <c r="G50" s="295"/>
      <c r="H50" s="55">
        <v>5.0000000000000001E-4</v>
      </c>
      <c r="I50" s="54">
        <f t="shared" si="1"/>
        <v>1.66</v>
      </c>
    </row>
    <row r="51" spans="1:9" x14ac:dyDescent="0.25">
      <c r="A51" s="39" t="s">
        <v>67</v>
      </c>
      <c r="B51" s="299" t="s">
        <v>110</v>
      </c>
      <c r="C51" s="294"/>
      <c r="D51" s="294"/>
      <c r="E51" s="294"/>
      <c r="F51" s="294"/>
      <c r="G51" s="295"/>
      <c r="H51" s="55">
        <v>4.0000000000000002E-4</v>
      </c>
      <c r="I51" s="54">
        <f t="shared" si="1"/>
        <v>1.33</v>
      </c>
    </row>
    <row r="52" spans="1:9" x14ac:dyDescent="0.25">
      <c r="A52" s="39" t="s">
        <v>69</v>
      </c>
      <c r="B52" s="299" t="s">
        <v>111</v>
      </c>
      <c r="C52" s="294"/>
      <c r="D52" s="294"/>
      <c r="E52" s="294"/>
      <c r="F52" s="294"/>
      <c r="G52" s="295"/>
      <c r="H52" s="55">
        <v>1E-4</v>
      </c>
      <c r="I52" s="54">
        <f t="shared" si="1"/>
        <v>0.33</v>
      </c>
    </row>
    <row r="53" spans="1:9" x14ac:dyDescent="0.25">
      <c r="A53" s="39" t="s">
        <v>71</v>
      </c>
      <c r="B53" s="299" t="s">
        <v>112</v>
      </c>
      <c r="C53" s="294"/>
      <c r="D53" s="294"/>
      <c r="E53" s="294"/>
      <c r="F53" s="294"/>
      <c r="G53" s="295"/>
      <c r="H53" s="55">
        <v>2.0000000000000001E-4</v>
      </c>
      <c r="I53" s="54">
        <f t="shared" si="1"/>
        <v>0.66</v>
      </c>
    </row>
    <row r="54" spans="1:9" x14ac:dyDescent="0.25">
      <c r="A54" s="296" t="s">
        <v>113</v>
      </c>
      <c r="B54" s="294"/>
      <c r="C54" s="294"/>
      <c r="D54" s="294"/>
      <c r="E54" s="294"/>
      <c r="F54" s="294"/>
      <c r="G54" s="295"/>
      <c r="H54" s="40">
        <f>SUM(H48:H53)</f>
        <v>4.7000000000000002E-3</v>
      </c>
      <c r="I54" s="49">
        <f>SUM(I48:I53)</f>
        <v>15.6</v>
      </c>
    </row>
    <row r="55" spans="1:9" x14ac:dyDescent="0.25">
      <c r="A55" s="302"/>
      <c r="B55" s="303"/>
      <c r="C55" s="303"/>
      <c r="D55" s="303"/>
      <c r="E55" s="303"/>
      <c r="F55" s="303"/>
      <c r="G55" s="303"/>
      <c r="H55" s="303"/>
      <c r="I55" s="303"/>
    </row>
    <row r="56" spans="1:9" x14ac:dyDescent="0.25">
      <c r="A56" s="298" t="s">
        <v>114</v>
      </c>
      <c r="B56" s="294"/>
      <c r="C56" s="294"/>
      <c r="D56" s="294"/>
      <c r="E56" s="294"/>
      <c r="F56" s="294"/>
      <c r="G56" s="294"/>
      <c r="H56" s="294"/>
      <c r="I56" s="295"/>
    </row>
    <row r="57" spans="1:9" x14ac:dyDescent="0.25">
      <c r="A57" s="296" t="s">
        <v>115</v>
      </c>
      <c r="B57" s="294"/>
      <c r="C57" s="294"/>
      <c r="D57" s="294"/>
      <c r="E57" s="294"/>
      <c r="F57" s="294"/>
      <c r="G57" s="295"/>
      <c r="H57" s="40" t="s">
        <v>59</v>
      </c>
      <c r="I57" s="53" t="s">
        <v>60</v>
      </c>
    </row>
    <row r="58" spans="1:9" x14ac:dyDescent="0.25">
      <c r="A58" s="39" t="s">
        <v>61</v>
      </c>
      <c r="B58" s="293" t="s">
        <v>116</v>
      </c>
      <c r="C58" s="294"/>
      <c r="D58" s="294"/>
      <c r="E58" s="294"/>
      <c r="F58" s="294"/>
      <c r="G58" s="295"/>
      <c r="H58" s="44">
        <f>1/12</f>
        <v>8.3333333333333329E-2</v>
      </c>
      <c r="I58" s="54">
        <f t="shared" ref="I58:I63" si="2">ROUND($I$12*H58,2)</f>
        <v>276.67</v>
      </c>
    </row>
    <row r="59" spans="1:9" x14ac:dyDescent="0.25">
      <c r="A59" s="39" t="s">
        <v>63</v>
      </c>
      <c r="B59" s="293" t="s">
        <v>117</v>
      </c>
      <c r="C59" s="294"/>
      <c r="D59" s="294"/>
      <c r="E59" s="294"/>
      <c r="F59" s="294"/>
      <c r="G59" s="295"/>
      <c r="H59" s="65">
        <v>2.3999999999999998E-3</v>
      </c>
      <c r="I59" s="54">
        <f t="shared" si="2"/>
        <v>7.97</v>
      </c>
    </row>
    <row r="60" spans="1:9" x14ac:dyDescent="0.25">
      <c r="A60" s="39" t="s">
        <v>65</v>
      </c>
      <c r="B60" s="293" t="s">
        <v>118</v>
      </c>
      <c r="C60" s="294"/>
      <c r="D60" s="294"/>
      <c r="E60" s="294"/>
      <c r="F60" s="294"/>
      <c r="G60" s="295"/>
      <c r="H60" s="65">
        <v>2.9999999999999997E-4</v>
      </c>
      <c r="I60" s="54">
        <f t="shared" si="2"/>
        <v>1</v>
      </c>
    </row>
    <row r="61" spans="1:9" x14ac:dyDescent="0.25">
      <c r="A61" s="39" t="s">
        <v>67</v>
      </c>
      <c r="B61" s="293" t="s">
        <v>119</v>
      </c>
      <c r="C61" s="294"/>
      <c r="D61" s="294"/>
      <c r="E61" s="294"/>
      <c r="F61" s="294"/>
      <c r="G61" s="295"/>
      <c r="H61" s="65">
        <v>1.6000000000000001E-3</v>
      </c>
      <c r="I61" s="54">
        <f t="shared" si="2"/>
        <v>5.31</v>
      </c>
    </row>
    <row r="62" spans="1:9" x14ac:dyDescent="0.25">
      <c r="A62" s="39" t="s">
        <v>69</v>
      </c>
      <c r="B62" s="293" t="s">
        <v>120</v>
      </c>
      <c r="C62" s="294"/>
      <c r="D62" s="294"/>
      <c r="E62" s="294"/>
      <c r="F62" s="294"/>
      <c r="G62" s="295"/>
      <c r="H62" s="65">
        <v>5.0000000000000001E-4</v>
      </c>
      <c r="I62" s="54">
        <f t="shared" si="2"/>
        <v>1.66</v>
      </c>
    </row>
    <row r="63" spans="1:9" x14ac:dyDescent="0.25">
      <c r="A63" s="39" t="s">
        <v>71</v>
      </c>
      <c r="B63" s="293" t="s">
        <v>121</v>
      </c>
      <c r="C63" s="294"/>
      <c r="D63" s="294"/>
      <c r="E63" s="294"/>
      <c r="F63" s="294"/>
      <c r="G63" s="295"/>
      <c r="H63" s="65">
        <v>0</v>
      </c>
      <c r="I63" s="54">
        <f t="shared" si="2"/>
        <v>0</v>
      </c>
    </row>
    <row r="64" spans="1:9" x14ac:dyDescent="0.25">
      <c r="A64" s="296" t="s">
        <v>122</v>
      </c>
      <c r="B64" s="294"/>
      <c r="C64" s="294"/>
      <c r="D64" s="294"/>
      <c r="E64" s="294"/>
      <c r="F64" s="294"/>
      <c r="G64" s="295"/>
      <c r="H64" s="40">
        <f>SUM(H58:H63)</f>
        <v>8.8133333333333327E-2</v>
      </c>
      <c r="I64" s="66">
        <f>SUM(I58:I63)</f>
        <v>292.61000000000007</v>
      </c>
    </row>
    <row r="65" spans="1:9" x14ac:dyDescent="0.25">
      <c r="A65" s="302"/>
      <c r="B65" s="303"/>
      <c r="C65" s="303"/>
      <c r="D65" s="303"/>
      <c r="E65" s="303"/>
      <c r="F65" s="303"/>
      <c r="G65" s="303"/>
      <c r="H65" s="303"/>
      <c r="I65" s="303"/>
    </row>
    <row r="66" spans="1:9" x14ac:dyDescent="0.25">
      <c r="A66" s="296" t="s">
        <v>123</v>
      </c>
      <c r="B66" s="294"/>
      <c r="C66" s="294"/>
      <c r="D66" s="294"/>
      <c r="E66" s="294"/>
      <c r="F66" s="294"/>
      <c r="G66" s="295"/>
      <c r="H66" s="40" t="s">
        <v>59</v>
      </c>
      <c r="I66" s="53" t="s">
        <v>60</v>
      </c>
    </row>
    <row r="67" spans="1:9" x14ac:dyDescent="0.25">
      <c r="A67" s="39" t="s">
        <v>61</v>
      </c>
      <c r="B67" s="293" t="s">
        <v>124</v>
      </c>
      <c r="C67" s="294"/>
      <c r="D67" s="294"/>
      <c r="E67" s="294"/>
      <c r="F67" s="294"/>
      <c r="G67" s="295"/>
      <c r="H67" s="44">
        <v>0</v>
      </c>
      <c r="I67" s="61">
        <v>0</v>
      </c>
    </row>
    <row r="68" spans="1:9" x14ac:dyDescent="0.25">
      <c r="A68" s="296" t="s">
        <v>125</v>
      </c>
      <c r="B68" s="294"/>
      <c r="C68" s="294"/>
      <c r="D68" s="294"/>
      <c r="E68" s="294"/>
      <c r="F68" s="294"/>
      <c r="G68" s="295"/>
      <c r="H68" s="40">
        <v>0</v>
      </c>
      <c r="I68" s="62">
        <v>0</v>
      </c>
    </row>
    <row r="69" spans="1:9" x14ac:dyDescent="0.25">
      <c r="A69" s="302"/>
      <c r="B69" s="303"/>
      <c r="C69" s="303"/>
      <c r="D69" s="303"/>
      <c r="E69" s="303"/>
      <c r="F69" s="303"/>
      <c r="G69" s="303"/>
      <c r="H69" s="303"/>
      <c r="I69" s="303"/>
    </row>
    <row r="70" spans="1:9" x14ac:dyDescent="0.25">
      <c r="A70" s="306" t="s">
        <v>126</v>
      </c>
      <c r="B70" s="294"/>
      <c r="C70" s="294"/>
      <c r="D70" s="294"/>
      <c r="E70" s="294"/>
      <c r="F70" s="294"/>
      <c r="G70" s="294"/>
      <c r="H70" s="294"/>
      <c r="I70" s="295"/>
    </row>
    <row r="71" spans="1:9" x14ac:dyDescent="0.25">
      <c r="A71" s="296" t="s">
        <v>127</v>
      </c>
      <c r="B71" s="294"/>
      <c r="C71" s="294"/>
      <c r="D71" s="294"/>
      <c r="E71" s="294"/>
      <c r="F71" s="294"/>
      <c r="G71" s="294"/>
      <c r="H71" s="295"/>
      <c r="I71" s="53" t="s">
        <v>60</v>
      </c>
    </row>
    <row r="72" spans="1:9" x14ac:dyDescent="0.25">
      <c r="A72" s="63">
        <v>43469</v>
      </c>
      <c r="B72" s="293" t="s">
        <v>117</v>
      </c>
      <c r="C72" s="307"/>
      <c r="D72" s="307"/>
      <c r="E72" s="307"/>
      <c r="F72" s="307"/>
      <c r="G72" s="307"/>
      <c r="H72" s="308"/>
      <c r="I72" s="54">
        <f>I64</f>
        <v>292.61000000000007</v>
      </c>
    </row>
    <row r="73" spans="1:9" x14ac:dyDescent="0.25">
      <c r="A73" s="63">
        <v>43500</v>
      </c>
      <c r="B73" s="293" t="s">
        <v>128</v>
      </c>
      <c r="C73" s="307"/>
      <c r="D73" s="307"/>
      <c r="E73" s="307"/>
      <c r="F73" s="307"/>
      <c r="G73" s="307"/>
      <c r="H73" s="308"/>
      <c r="I73" s="54">
        <f>I68</f>
        <v>0</v>
      </c>
    </row>
    <row r="74" spans="1:9" x14ac:dyDescent="0.25">
      <c r="A74" s="296" t="s">
        <v>129</v>
      </c>
      <c r="B74" s="294"/>
      <c r="C74" s="294"/>
      <c r="D74" s="294"/>
      <c r="E74" s="294"/>
      <c r="F74" s="294"/>
      <c r="G74" s="294"/>
      <c r="H74" s="295"/>
      <c r="I74" s="49">
        <f>SUM(I72:I73)</f>
        <v>292.61000000000007</v>
      </c>
    </row>
    <row r="75" spans="1:9" x14ac:dyDescent="0.25">
      <c r="A75" s="315"/>
      <c r="B75" s="315"/>
      <c r="C75" s="315"/>
      <c r="D75" s="315"/>
      <c r="E75" s="315"/>
      <c r="F75" s="315"/>
      <c r="G75" s="315"/>
      <c r="H75" s="315"/>
      <c r="I75" s="315"/>
    </row>
    <row r="76" spans="1:9" x14ac:dyDescent="0.25">
      <c r="A76" s="298" t="s">
        <v>130</v>
      </c>
      <c r="B76" s="294"/>
      <c r="C76" s="294"/>
      <c r="D76" s="294"/>
      <c r="E76" s="294"/>
      <c r="F76" s="294"/>
      <c r="G76" s="294"/>
      <c r="H76" s="294"/>
      <c r="I76" s="295"/>
    </row>
    <row r="77" spans="1:9" x14ac:dyDescent="0.25">
      <c r="A77" s="39">
        <v>5</v>
      </c>
      <c r="B77" s="296" t="s">
        <v>131</v>
      </c>
      <c r="C77" s="294"/>
      <c r="D77" s="294"/>
      <c r="E77" s="294"/>
      <c r="F77" s="294"/>
      <c r="G77" s="295"/>
      <c r="H77" s="40"/>
      <c r="I77" s="53" t="s">
        <v>60</v>
      </c>
    </row>
    <row r="78" spans="1:9" x14ac:dyDescent="0.25">
      <c r="A78" s="39" t="s">
        <v>61</v>
      </c>
      <c r="B78" s="300" t="s">
        <v>132</v>
      </c>
      <c r="C78" s="294"/>
      <c r="D78" s="294"/>
      <c r="E78" s="294"/>
      <c r="F78" s="294"/>
      <c r="G78" s="295"/>
      <c r="H78" s="44" t="s">
        <v>19</v>
      </c>
      <c r="I78" s="61">
        <v>0</v>
      </c>
    </row>
    <row r="79" spans="1:9" x14ac:dyDescent="0.25">
      <c r="A79" s="39" t="s">
        <v>63</v>
      </c>
      <c r="B79" s="300" t="s">
        <v>133</v>
      </c>
      <c r="C79" s="294"/>
      <c r="D79" s="294"/>
      <c r="E79" s="294"/>
      <c r="F79" s="294"/>
      <c r="G79" s="295"/>
      <c r="H79" s="44" t="s">
        <v>19</v>
      </c>
      <c r="I79" s="61">
        <v>0</v>
      </c>
    </row>
    <row r="80" spans="1:9" x14ac:dyDescent="0.25">
      <c r="A80" s="67" t="s">
        <v>65</v>
      </c>
      <c r="B80" s="300" t="s">
        <v>134</v>
      </c>
      <c r="C80" s="294"/>
      <c r="D80" s="294"/>
      <c r="E80" s="294"/>
      <c r="F80" s="294"/>
      <c r="G80" s="295"/>
      <c r="H80" s="44" t="s">
        <v>19</v>
      </c>
      <c r="I80" s="61">
        <v>0</v>
      </c>
    </row>
    <row r="81" spans="1:12" x14ac:dyDescent="0.25">
      <c r="A81" s="67" t="s">
        <v>67</v>
      </c>
      <c r="B81" s="309" t="s">
        <v>97</v>
      </c>
      <c r="C81" s="294"/>
      <c r="D81" s="294"/>
      <c r="E81" s="294"/>
      <c r="F81" s="294"/>
      <c r="G81" s="295"/>
      <c r="H81" s="55">
        <v>0</v>
      </c>
      <c r="I81" s="61"/>
    </row>
    <row r="82" spans="1:12" x14ac:dyDescent="0.25">
      <c r="A82" s="296" t="s">
        <v>135</v>
      </c>
      <c r="B82" s="294"/>
      <c r="C82" s="294"/>
      <c r="D82" s="294"/>
      <c r="E82" s="294"/>
      <c r="F82" s="294"/>
      <c r="G82" s="295"/>
      <c r="H82" s="40" t="s">
        <v>19</v>
      </c>
      <c r="I82" s="49">
        <f>SUM(I78:I81)</f>
        <v>0</v>
      </c>
    </row>
    <row r="83" spans="1:12" x14ac:dyDescent="0.25">
      <c r="A83" s="315"/>
      <c r="B83" s="315"/>
      <c r="C83" s="315"/>
      <c r="D83" s="315"/>
      <c r="E83" s="315"/>
      <c r="F83" s="315"/>
      <c r="G83" s="315"/>
      <c r="H83" s="315"/>
      <c r="I83" s="315"/>
    </row>
    <row r="84" spans="1:12" x14ac:dyDescent="0.25">
      <c r="A84" s="298" t="s">
        <v>136</v>
      </c>
      <c r="B84" s="294"/>
      <c r="C84" s="294"/>
      <c r="D84" s="294"/>
      <c r="E84" s="294"/>
      <c r="F84" s="294"/>
      <c r="G84" s="294"/>
      <c r="H84" s="294"/>
      <c r="I84" s="295"/>
    </row>
    <row r="85" spans="1:12" x14ac:dyDescent="0.25">
      <c r="A85" s="39">
        <v>6</v>
      </c>
      <c r="B85" s="296" t="s">
        <v>137</v>
      </c>
      <c r="C85" s="294"/>
      <c r="D85" s="294"/>
      <c r="E85" s="294"/>
      <c r="F85" s="294"/>
      <c r="G85" s="295"/>
      <c r="H85" s="40" t="s">
        <v>59</v>
      </c>
      <c r="I85" s="53" t="s">
        <v>60</v>
      </c>
    </row>
    <row r="86" spans="1:12" x14ac:dyDescent="0.25">
      <c r="A86" s="39" t="s">
        <v>61</v>
      </c>
      <c r="B86" s="293" t="s">
        <v>138</v>
      </c>
      <c r="C86" s="294"/>
      <c r="D86" s="294"/>
      <c r="E86" s="294"/>
      <c r="F86" s="294"/>
      <c r="G86" s="295"/>
      <c r="H86" s="68">
        <v>0</v>
      </c>
      <c r="I86" s="46">
        <f>H86*I107</f>
        <v>0</v>
      </c>
      <c r="L86" s="69">
        <f>H18+H29+H54+H64+H92</f>
        <v>0.37723333333333336</v>
      </c>
    </row>
    <row r="87" spans="1:12" x14ac:dyDescent="0.25">
      <c r="A87" s="39" t="s">
        <v>63</v>
      </c>
      <c r="B87" s="293" t="s">
        <v>139</v>
      </c>
      <c r="C87" s="294"/>
      <c r="D87" s="294"/>
      <c r="E87" s="294"/>
      <c r="F87" s="294"/>
      <c r="G87" s="295"/>
      <c r="H87" s="68">
        <v>0</v>
      </c>
      <c r="I87" s="46"/>
    </row>
    <row r="88" spans="1:12" x14ac:dyDescent="0.25">
      <c r="A88" s="39" t="s">
        <v>65</v>
      </c>
      <c r="B88" s="312" t="s">
        <v>140</v>
      </c>
      <c r="C88" s="294"/>
      <c r="D88" s="294"/>
      <c r="E88" s="294"/>
      <c r="F88" s="294"/>
      <c r="G88" s="295"/>
      <c r="H88" s="70"/>
      <c r="I88" s="62"/>
    </row>
    <row r="89" spans="1:12" x14ac:dyDescent="0.25">
      <c r="A89" s="39" t="s">
        <v>141</v>
      </c>
      <c r="B89" s="299" t="s">
        <v>142</v>
      </c>
      <c r="C89" s="294"/>
      <c r="D89" s="294"/>
      <c r="E89" s="294"/>
      <c r="F89" s="294"/>
      <c r="G89" s="295"/>
      <c r="H89" s="71">
        <v>0.01</v>
      </c>
      <c r="I89" s="72">
        <f>ROUND(I98,2)</f>
        <v>46.36</v>
      </c>
    </row>
    <row r="90" spans="1:12" x14ac:dyDescent="0.25">
      <c r="A90" s="39" t="s">
        <v>143</v>
      </c>
      <c r="B90" s="293" t="s">
        <v>144</v>
      </c>
      <c r="C90" s="294"/>
      <c r="D90" s="294"/>
      <c r="E90" s="294"/>
      <c r="F90" s="294"/>
      <c r="G90" s="295"/>
      <c r="H90" s="68">
        <v>0</v>
      </c>
      <c r="I90" s="46" t="s">
        <v>19</v>
      </c>
    </row>
    <row r="91" spans="1:12" x14ac:dyDescent="0.25">
      <c r="A91" s="39" t="s">
        <v>145</v>
      </c>
      <c r="B91" s="293" t="s">
        <v>146</v>
      </c>
      <c r="C91" s="294"/>
      <c r="D91" s="294"/>
      <c r="E91" s="294"/>
      <c r="F91" s="294"/>
      <c r="G91" s="295"/>
      <c r="H91" s="68">
        <v>0</v>
      </c>
      <c r="I91" s="46" t="s">
        <v>19</v>
      </c>
    </row>
    <row r="92" spans="1:12" x14ac:dyDescent="0.25">
      <c r="A92" s="296" t="s">
        <v>147</v>
      </c>
      <c r="B92" s="294"/>
      <c r="C92" s="294"/>
      <c r="D92" s="294"/>
      <c r="E92" s="294"/>
      <c r="F92" s="294"/>
      <c r="G92" s="295"/>
      <c r="H92" s="70">
        <v>0.01</v>
      </c>
      <c r="I92" s="49">
        <f>SUM(I86:I91)</f>
        <v>46.36</v>
      </c>
    </row>
    <row r="93" spans="1:12" x14ac:dyDescent="0.25">
      <c r="A93" s="73"/>
      <c r="B93" s="315"/>
      <c r="C93" s="315"/>
      <c r="D93" s="315"/>
      <c r="E93" s="315"/>
      <c r="F93" s="315"/>
      <c r="G93" s="315"/>
      <c r="H93" s="315"/>
      <c r="I93" s="315"/>
    </row>
    <row r="94" spans="1:12" x14ac:dyDescent="0.25">
      <c r="A94" s="74" t="s">
        <v>148</v>
      </c>
      <c r="B94" s="310" t="s">
        <v>149</v>
      </c>
      <c r="C94" s="310"/>
      <c r="D94" s="310"/>
      <c r="E94" s="310"/>
      <c r="F94" s="310"/>
      <c r="G94" s="310"/>
      <c r="H94" s="75">
        <f>TRUNC(H89+H90+H91,4)</f>
        <v>0.01</v>
      </c>
      <c r="I94" s="76"/>
    </row>
    <row r="95" spans="1:12" x14ac:dyDescent="0.25">
      <c r="A95" s="77"/>
      <c r="B95" s="311">
        <v>100</v>
      </c>
      <c r="C95" s="311"/>
      <c r="D95" s="311"/>
      <c r="E95" s="311"/>
      <c r="F95" s="311"/>
      <c r="G95" s="311"/>
      <c r="H95" s="78"/>
      <c r="I95" s="79"/>
    </row>
    <row r="96" spans="1:12" x14ac:dyDescent="0.25">
      <c r="A96" s="77" t="s">
        <v>150</v>
      </c>
      <c r="B96" s="311" t="s">
        <v>151</v>
      </c>
      <c r="C96" s="311"/>
      <c r="D96" s="311"/>
      <c r="E96" s="311"/>
      <c r="F96" s="311"/>
      <c r="G96" s="311"/>
      <c r="H96" s="78"/>
      <c r="I96" s="79">
        <f>TRUNC(I107+I86+I87,2)</f>
        <v>4590.8500000000004</v>
      </c>
    </row>
    <row r="97" spans="1:11" x14ac:dyDescent="0.25">
      <c r="A97" s="77" t="s">
        <v>152</v>
      </c>
      <c r="B97" s="311" t="s">
        <v>153</v>
      </c>
      <c r="C97" s="311"/>
      <c r="D97" s="311"/>
      <c r="E97" s="311"/>
      <c r="F97" s="311"/>
      <c r="G97" s="311"/>
      <c r="H97" s="78"/>
      <c r="I97" s="79">
        <f>TRUNC(I96/(1-H94),2)</f>
        <v>4637.22</v>
      </c>
    </row>
    <row r="98" spans="1:11" x14ac:dyDescent="0.25">
      <c r="A98" s="80"/>
      <c r="B98" s="313" t="s">
        <v>154</v>
      </c>
      <c r="C98" s="313"/>
      <c r="D98" s="313"/>
      <c r="E98" s="313"/>
      <c r="F98" s="313"/>
      <c r="G98" s="313"/>
      <c r="H98" s="81"/>
      <c r="I98" s="82">
        <f>TRUNC(I97-I96,2)</f>
        <v>46.36</v>
      </c>
    </row>
    <row r="99" spans="1:11" x14ac:dyDescent="0.25">
      <c r="A99" s="73"/>
      <c r="B99" s="73"/>
      <c r="C99" s="73"/>
      <c r="D99" s="73"/>
      <c r="E99" s="73"/>
      <c r="F99" s="73"/>
      <c r="G99" s="73"/>
      <c r="H99" s="83"/>
      <c r="I99" s="52"/>
    </row>
    <row r="100" spans="1:11" x14ac:dyDescent="0.25">
      <c r="A100" s="306" t="s">
        <v>155</v>
      </c>
      <c r="B100" s="294"/>
      <c r="C100" s="294"/>
      <c r="D100" s="294"/>
      <c r="E100" s="294"/>
      <c r="F100" s="294"/>
      <c r="G100" s="294"/>
      <c r="H100" s="294"/>
      <c r="I100" s="295"/>
    </row>
    <row r="101" spans="1:11" x14ac:dyDescent="0.25">
      <c r="A101" s="296" t="s">
        <v>156</v>
      </c>
      <c r="B101" s="294"/>
      <c r="C101" s="294"/>
      <c r="D101" s="294"/>
      <c r="E101" s="294"/>
      <c r="F101" s="294"/>
      <c r="G101" s="294"/>
      <c r="H101" s="295"/>
      <c r="I101" s="53" t="s">
        <v>60</v>
      </c>
    </row>
    <row r="102" spans="1:11" x14ac:dyDescent="0.25">
      <c r="A102" s="84" t="s">
        <v>61</v>
      </c>
      <c r="B102" s="293" t="s">
        <v>57</v>
      </c>
      <c r="C102" s="294"/>
      <c r="D102" s="294"/>
      <c r="E102" s="294"/>
      <c r="F102" s="294"/>
      <c r="G102" s="294"/>
      <c r="H102" s="295"/>
      <c r="I102" s="54">
        <f>I12</f>
        <v>3320</v>
      </c>
    </row>
    <row r="103" spans="1:11" x14ac:dyDescent="0.25">
      <c r="A103" s="84" t="s">
        <v>63</v>
      </c>
      <c r="B103" s="293" t="s">
        <v>76</v>
      </c>
      <c r="C103" s="294"/>
      <c r="D103" s="294"/>
      <c r="E103" s="294"/>
      <c r="F103" s="294"/>
      <c r="G103" s="294"/>
      <c r="H103" s="295"/>
      <c r="I103" s="54">
        <f>I44</f>
        <v>962.6400000000001</v>
      </c>
    </row>
    <row r="104" spans="1:11" x14ac:dyDescent="0.25">
      <c r="A104" s="84" t="s">
        <v>65</v>
      </c>
      <c r="B104" s="293" t="s">
        <v>105</v>
      </c>
      <c r="C104" s="294"/>
      <c r="D104" s="294"/>
      <c r="E104" s="294"/>
      <c r="F104" s="294"/>
      <c r="G104" s="294"/>
      <c r="H104" s="295"/>
      <c r="I104" s="54">
        <f>I54</f>
        <v>15.6</v>
      </c>
    </row>
    <row r="105" spans="1:11" x14ac:dyDescent="0.25">
      <c r="A105" s="84" t="s">
        <v>67</v>
      </c>
      <c r="B105" s="293" t="s">
        <v>114</v>
      </c>
      <c r="C105" s="294"/>
      <c r="D105" s="294"/>
      <c r="E105" s="294"/>
      <c r="F105" s="294"/>
      <c r="G105" s="294"/>
      <c r="H105" s="295"/>
      <c r="I105" s="54">
        <f>I74</f>
        <v>292.61000000000007</v>
      </c>
      <c r="K105" s="164" t="s">
        <v>157</v>
      </c>
    </row>
    <row r="106" spans="1:11" x14ac:dyDescent="0.25">
      <c r="A106" s="84" t="s">
        <v>69</v>
      </c>
      <c r="B106" s="293" t="s">
        <v>130</v>
      </c>
      <c r="C106" s="294"/>
      <c r="D106" s="294"/>
      <c r="E106" s="294"/>
      <c r="F106" s="294"/>
      <c r="G106" s="294"/>
      <c r="H106" s="295"/>
      <c r="I106" s="54">
        <f>I82</f>
        <v>0</v>
      </c>
      <c r="K106" s="165">
        <f>I109-I102</f>
        <v>1317.21</v>
      </c>
    </row>
    <row r="107" spans="1:11" x14ac:dyDescent="0.25">
      <c r="A107" s="39"/>
      <c r="B107" s="296" t="s">
        <v>158</v>
      </c>
      <c r="C107" s="294"/>
      <c r="D107" s="294"/>
      <c r="E107" s="294"/>
      <c r="F107" s="294"/>
      <c r="G107" s="294"/>
      <c r="H107" s="295"/>
      <c r="I107" s="49">
        <f>SUM(I102:I106)</f>
        <v>4590.8500000000004</v>
      </c>
    </row>
    <row r="108" spans="1:11" x14ac:dyDescent="0.25">
      <c r="A108" s="84" t="s">
        <v>71</v>
      </c>
      <c r="B108" s="293" t="s">
        <v>136</v>
      </c>
      <c r="C108" s="294"/>
      <c r="D108" s="294"/>
      <c r="E108" s="294"/>
      <c r="F108" s="294"/>
      <c r="G108" s="294"/>
      <c r="H108" s="295"/>
      <c r="I108" s="54">
        <f>I92</f>
        <v>46.36</v>
      </c>
    </row>
    <row r="109" spans="1:11" x14ac:dyDescent="0.25">
      <c r="A109" s="296" t="s">
        <v>159</v>
      </c>
      <c r="B109" s="294"/>
      <c r="C109" s="294"/>
      <c r="D109" s="294"/>
      <c r="E109" s="294"/>
      <c r="F109" s="294"/>
      <c r="G109" s="294"/>
      <c r="H109" s="295"/>
      <c r="I109" s="49">
        <f>SUM(I107:I108)</f>
        <v>4637.21</v>
      </c>
    </row>
    <row r="110" spans="1:11" x14ac:dyDescent="0.25">
      <c r="A110" s="36"/>
      <c r="B110" s="36"/>
      <c r="C110" s="36"/>
      <c r="D110" s="36"/>
      <c r="E110" s="36"/>
      <c r="F110" s="36"/>
      <c r="G110" s="36"/>
      <c r="H110" s="37"/>
      <c r="I110" s="85"/>
    </row>
    <row r="111" spans="1:11" x14ac:dyDescent="0.25">
      <c r="A111" s="56" t="s">
        <v>160</v>
      </c>
      <c r="B111" s="86">
        <f>I109/I102</f>
        <v>1.3967499999999999</v>
      </c>
      <c r="C111" s="36"/>
      <c r="D111" s="87"/>
      <c r="E111" s="87"/>
      <c r="F111" s="87"/>
      <c r="G111" s="87"/>
      <c r="H111" s="88"/>
      <c r="I111" s="89"/>
    </row>
  </sheetData>
  <mergeCells count="105">
    <mergeCell ref="B106:H106"/>
    <mergeCell ref="B107:H107"/>
    <mergeCell ref="B108:H108"/>
    <mergeCell ref="A109:H109"/>
    <mergeCell ref="A100:I100"/>
    <mergeCell ref="A101:H101"/>
    <mergeCell ref="B102:H102"/>
    <mergeCell ref="B103:H103"/>
    <mergeCell ref="B104:H104"/>
    <mergeCell ref="B105:H105"/>
    <mergeCell ref="B93:I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A92:G92"/>
    <mergeCell ref="B81:G81"/>
    <mergeCell ref="A82:G82"/>
    <mergeCell ref="A83:I83"/>
    <mergeCell ref="A84:I84"/>
    <mergeCell ref="B85:G85"/>
    <mergeCell ref="B86:G86"/>
    <mergeCell ref="A75:I75"/>
    <mergeCell ref="A76:I76"/>
    <mergeCell ref="B77:G77"/>
    <mergeCell ref="B78:G78"/>
    <mergeCell ref="B79:G79"/>
    <mergeCell ref="B80:G80"/>
    <mergeCell ref="A69:I69"/>
    <mergeCell ref="A70:I70"/>
    <mergeCell ref="A71:H71"/>
    <mergeCell ref="B72:H72"/>
    <mergeCell ref="B73:H73"/>
    <mergeCell ref="A74:H74"/>
    <mergeCell ref="B63:G63"/>
    <mergeCell ref="A64:G64"/>
    <mergeCell ref="A65:I65"/>
    <mergeCell ref="A66:G66"/>
    <mergeCell ref="B67:G67"/>
    <mergeCell ref="A68:G68"/>
    <mergeCell ref="A57:G57"/>
    <mergeCell ref="B58:G58"/>
    <mergeCell ref="B59:G59"/>
    <mergeCell ref="B60:G60"/>
    <mergeCell ref="B61:G61"/>
    <mergeCell ref="B62:G62"/>
    <mergeCell ref="B51:G51"/>
    <mergeCell ref="B52:G52"/>
    <mergeCell ref="B53:G53"/>
    <mergeCell ref="A54:G54"/>
    <mergeCell ref="A55:I55"/>
    <mergeCell ref="A56:I56"/>
    <mergeCell ref="A45:I45"/>
    <mergeCell ref="A46:I46"/>
    <mergeCell ref="B47:G47"/>
    <mergeCell ref="B48:G48"/>
    <mergeCell ref="B49:G49"/>
    <mergeCell ref="B50:G50"/>
    <mergeCell ref="A39:I39"/>
    <mergeCell ref="A40:H40"/>
    <mergeCell ref="B41:H41"/>
    <mergeCell ref="B42:H42"/>
    <mergeCell ref="B43:H43"/>
    <mergeCell ref="A44:H44"/>
    <mergeCell ref="B34:G34"/>
    <mergeCell ref="B35:G35"/>
    <mergeCell ref="B36:G36"/>
    <mergeCell ref="A37:H37"/>
    <mergeCell ref="A38:I38"/>
    <mergeCell ref="B28:G28"/>
    <mergeCell ref="A29:G29"/>
    <mergeCell ref="A30:I30"/>
    <mergeCell ref="A31:G31"/>
    <mergeCell ref="B32:G32"/>
    <mergeCell ref="B33:G33"/>
    <mergeCell ref="B22:G22"/>
    <mergeCell ref="B23:G23"/>
    <mergeCell ref="B24:G24"/>
    <mergeCell ref="B25:G25"/>
    <mergeCell ref="B26:G26"/>
    <mergeCell ref="B27:G27"/>
    <mergeCell ref="A15:G15"/>
    <mergeCell ref="B16:G16"/>
    <mergeCell ref="B17:G17"/>
    <mergeCell ref="A18:G18"/>
    <mergeCell ref="A20:G20"/>
    <mergeCell ref="B21:G21"/>
    <mergeCell ref="B8:G8"/>
    <mergeCell ref="B9:G9"/>
    <mergeCell ref="B10:G10"/>
    <mergeCell ref="B11:G11"/>
    <mergeCell ref="A12:H12"/>
    <mergeCell ref="A14:I14"/>
    <mergeCell ref="A2:I2"/>
    <mergeCell ref="A3:I3"/>
    <mergeCell ref="B4:G4"/>
    <mergeCell ref="B5:G5"/>
    <mergeCell ref="B6:G6"/>
    <mergeCell ref="B7:G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GERAL</vt:lpstr>
      <vt:lpstr>VT, VR E ENCARGOS</vt:lpstr>
      <vt:lpstr>01. Coord adm</vt:lpstr>
      <vt:lpstr>02. Coord evento</vt:lpstr>
      <vt:lpstr>03. Coord adm</vt:lpstr>
      <vt:lpstr>04. Aux adm</vt:lpstr>
      <vt:lpstr>05. sup mat</vt:lpstr>
      <vt:lpstr>06. coord esp</vt:lpstr>
      <vt:lpstr>07. ass modal</vt:lpstr>
      <vt:lpstr>08. ass tec</vt:lpstr>
      <vt:lpstr>09. fisio</vt:lpstr>
      <vt:lpstr>Salários</vt:lpstr>
      <vt:lpstr>GERAL!Area_de_impressao</vt:lpstr>
    </vt:vector>
  </TitlesOfParts>
  <Manager/>
  <Company>Secretaria de Estado de Finanças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Marcello Campos</dc:creator>
  <cp:keywords/>
  <dc:description/>
  <cp:lastModifiedBy>Laryssa Maria</cp:lastModifiedBy>
  <cp:revision/>
  <cp:lastPrinted>2024-02-26T12:30:03Z</cp:lastPrinted>
  <dcterms:created xsi:type="dcterms:W3CDTF">2003-07-15T16:48:52Z</dcterms:created>
  <dcterms:modified xsi:type="dcterms:W3CDTF">2024-05-15T18:10:02Z</dcterms:modified>
  <cp:category/>
  <cp:contentStatus/>
</cp:coreProperties>
</file>